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https://knox.montana.edu/grad_etd/Student's ETD's/Academic Year 2015-2016/Summer 2015 - July 21, 2015/Supplemental - Jennings/"/>
    </mc:Choice>
  </mc:AlternateContent>
  <bookViews>
    <workbookView xWindow="0" yWindow="0" windowWidth="19140" windowHeight="7770" tabRatio="869"/>
  </bookViews>
  <sheets>
    <sheet name="Info" sheetId="30" r:id="rId1"/>
    <sheet name="Master" sheetId="1" r:id="rId2"/>
    <sheet name="Reactions" sheetId="4" r:id="rId3"/>
    <sheet name="Metabolites" sheetId="5" r:id="rId4"/>
    <sheet name="BIOMASS_Myell" sheetId="24" r:id="rId5"/>
    <sheet name="BIOMASS_Geo" sheetId="23" r:id="rId6"/>
    <sheet name="grfile" sheetId="29" r:id="rId7"/>
  </sheets>
  <calcPr calcId="152511"/>
</workbook>
</file>

<file path=xl/calcChain.xml><?xml version="1.0" encoding="utf-8"?>
<calcChain xmlns="http://schemas.openxmlformats.org/spreadsheetml/2006/main">
  <c r="T52" i="24" l="1"/>
  <c r="O3" i="5" l="1"/>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 i="5"/>
  <c r="N148" i="5"/>
  <c r="AL1" i="4" l="1"/>
  <c r="AK257" i="4"/>
  <c r="AJ257" i="4"/>
  <c r="AI257" i="4"/>
  <c r="AH273" i="4"/>
  <c r="AG281" i="4"/>
  <c r="AF289" i="4"/>
  <c r="AF285" i="4"/>
  <c r="AE291" i="4"/>
  <c r="AF281" i="4"/>
  <c r="AF277" i="4"/>
  <c r="AF273" i="4"/>
  <c r="AG273" i="4" s="1"/>
  <c r="AF269" i="4"/>
  <c r="AF265" i="4"/>
  <c r="AG265" i="4" s="1"/>
  <c r="AF261" i="4"/>
  <c r="AF257" i="4"/>
  <c r="AG257" i="4" s="1"/>
  <c r="AH257" i="4" s="1"/>
  <c r="AF253" i="4"/>
  <c r="AF249" i="4"/>
  <c r="AG249" i="4" s="1"/>
  <c r="AF245" i="4"/>
  <c r="AF241" i="4"/>
  <c r="AG241" i="4" s="1"/>
  <c r="AH241" i="4" s="1"/>
  <c r="AF237" i="4"/>
  <c r="AG233" i="4" s="1"/>
  <c r="AF233" i="4"/>
  <c r="AF229" i="4"/>
  <c r="AF225" i="4"/>
  <c r="AG225" i="4" s="1"/>
  <c r="AF221" i="4"/>
  <c r="AG217" i="4" s="1"/>
  <c r="AF217" i="4"/>
  <c r="AF213" i="4"/>
  <c r="AG209" i="4"/>
  <c r="AH209" i="4" s="1"/>
  <c r="AF209" i="4"/>
  <c r="AF205" i="4"/>
  <c r="AG201" i="4"/>
  <c r="AF201" i="4"/>
  <c r="AF197" i="4"/>
  <c r="AF193" i="4"/>
  <c r="AG193" i="4" s="1"/>
  <c r="AH193" i="4" s="1"/>
  <c r="AF189" i="4"/>
  <c r="AG185" i="4" s="1"/>
  <c r="AF185" i="4"/>
  <c r="AF181" i="4"/>
  <c r="AG177" i="4" s="1"/>
  <c r="AH177" i="4" s="1"/>
  <c r="AF177" i="4"/>
  <c r="AF173" i="4"/>
  <c r="AG169" i="4"/>
  <c r="AF169" i="4"/>
  <c r="AF165" i="4"/>
  <c r="AG161" i="4"/>
  <c r="AH161" i="4" s="1"/>
  <c r="AF161" i="4"/>
  <c r="AF157" i="4"/>
  <c r="AG153" i="4"/>
  <c r="AF153" i="4"/>
  <c r="AF149" i="4"/>
  <c r="AF145" i="4"/>
  <c r="AG145" i="4" s="1"/>
  <c r="AH145" i="4" s="1"/>
  <c r="AF141" i="4"/>
  <c r="AF137" i="4"/>
  <c r="AG137" i="4" s="1"/>
  <c r="AF133" i="4"/>
  <c r="AF129" i="4"/>
  <c r="AG129" i="4" s="1"/>
  <c r="AH129" i="4" s="1"/>
  <c r="AI129" i="4" s="1"/>
  <c r="AK1" i="4"/>
  <c r="AF125" i="4"/>
  <c r="AF121" i="4"/>
  <c r="AG121" i="4" s="1"/>
  <c r="AF117" i="4"/>
  <c r="AF113" i="4"/>
  <c r="AG113" i="4" s="1"/>
  <c r="AH113" i="4" s="1"/>
  <c r="AF109" i="4"/>
  <c r="AF105" i="4"/>
  <c r="AG105" i="4" s="1"/>
  <c r="AF101" i="4"/>
  <c r="AF97" i="4"/>
  <c r="AG97" i="4" s="1"/>
  <c r="AH97" i="4" s="1"/>
  <c r="AF93" i="4"/>
  <c r="AF89" i="4"/>
  <c r="AG89" i="4" s="1"/>
  <c r="AF85" i="4"/>
  <c r="AF81" i="4"/>
  <c r="AG81" i="4" s="1"/>
  <c r="AF77" i="4"/>
  <c r="AG73" i="4"/>
  <c r="AF73" i="4"/>
  <c r="AF69" i="4"/>
  <c r="AF65" i="4"/>
  <c r="AG65" i="4" s="1"/>
  <c r="AH65" i="4" s="1"/>
  <c r="AJ1" i="4"/>
  <c r="AI33" i="4"/>
  <c r="AI1" i="4"/>
  <c r="AE63" i="4"/>
  <c r="AE61" i="4"/>
  <c r="AF61" i="4" s="1"/>
  <c r="AE59" i="4"/>
  <c r="AE57" i="4"/>
  <c r="AF57" i="4" s="1"/>
  <c r="AE55" i="4"/>
  <c r="AE53" i="4"/>
  <c r="AF53" i="4" s="1"/>
  <c r="AE51" i="4"/>
  <c r="AE49" i="4"/>
  <c r="AF49" i="4" s="1"/>
  <c r="AG49" i="4" s="1"/>
  <c r="AE47" i="4"/>
  <c r="AE45" i="4"/>
  <c r="AF45" i="4" s="1"/>
  <c r="AE43" i="4"/>
  <c r="AE41" i="4"/>
  <c r="AF41" i="4" s="1"/>
  <c r="AG41" i="4" s="1"/>
  <c r="AE39" i="4"/>
  <c r="AF37" i="4" s="1"/>
  <c r="AE37" i="4"/>
  <c r="AE35" i="4"/>
  <c r="AE33" i="4"/>
  <c r="AF33" i="4" s="1"/>
  <c r="AG33" i="4" s="1"/>
  <c r="AE31" i="4"/>
  <c r="AE29" i="4"/>
  <c r="AF29" i="4" s="1"/>
  <c r="AE27" i="4"/>
  <c r="AE25" i="4"/>
  <c r="AF25" i="4" s="1"/>
  <c r="AG25" i="4" s="1"/>
  <c r="AE23" i="4"/>
  <c r="AE21" i="4"/>
  <c r="AF21" i="4" s="1"/>
  <c r="AE19" i="4"/>
  <c r="AE17" i="4"/>
  <c r="AF17" i="4" s="1"/>
  <c r="AG17" i="4" s="1"/>
  <c r="AH1" i="4"/>
  <c r="AE1" i="4"/>
  <c r="AG9" i="4"/>
  <c r="AF5" i="4"/>
  <c r="AF9" i="4"/>
  <c r="AF13" i="4"/>
  <c r="AE290" i="4"/>
  <c r="AE3" i="4"/>
  <c r="AE5" i="4"/>
  <c r="AE7" i="4"/>
  <c r="AE9" i="4"/>
  <c r="AE11" i="4"/>
  <c r="AE13" i="4"/>
  <c r="AE15"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H225" i="4" l="1"/>
  <c r="AI225" i="4" s="1"/>
  <c r="AI161" i="4"/>
  <c r="AJ129" i="4" s="1"/>
  <c r="AK129" i="4" s="1"/>
  <c r="AI193" i="4"/>
  <c r="AJ193" i="4" s="1"/>
  <c r="AH81" i="4"/>
  <c r="AI65" i="4"/>
  <c r="AI97" i="4"/>
  <c r="AG57" i="4"/>
  <c r="AH49" i="4" s="1"/>
  <c r="AH33" i="4"/>
  <c r="AH17" i="4"/>
  <c r="AF1" i="4"/>
  <c r="AG1" i="4" s="1"/>
  <c r="A44" i="29"/>
  <c r="A42" i="29"/>
  <c r="AJ65" i="4" l="1"/>
  <c r="A573" i="1"/>
  <c r="D1" i="4" l="1"/>
  <c r="D2" i="4"/>
  <c r="D3" i="4"/>
  <c r="D4"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E20" i="24" l="1"/>
  <c r="F20" i="24"/>
  <c r="G20" i="24"/>
  <c r="H20" i="24"/>
  <c r="I20" i="24"/>
  <c r="E21" i="24"/>
  <c r="F21" i="24"/>
  <c r="G21" i="24"/>
  <c r="H21" i="24"/>
  <c r="I21" i="24"/>
  <c r="E22" i="24"/>
  <c r="F22" i="24"/>
  <c r="G22" i="24"/>
  <c r="H22" i="24"/>
  <c r="I22" i="24"/>
  <c r="E23" i="24"/>
  <c r="F23" i="24"/>
  <c r="G23" i="24"/>
  <c r="H23" i="24"/>
  <c r="I23" i="24"/>
  <c r="E24" i="24"/>
  <c r="F24" i="24"/>
  <c r="G24" i="24"/>
  <c r="H24" i="24"/>
  <c r="I24" i="24"/>
  <c r="J24" i="24"/>
  <c r="E25" i="24"/>
  <c r="F25" i="24"/>
  <c r="G25" i="24"/>
  <c r="H25" i="24"/>
  <c r="I25" i="24"/>
  <c r="J25" i="24"/>
  <c r="E26" i="24"/>
  <c r="F26" i="24"/>
  <c r="G26" i="24"/>
  <c r="H26" i="24"/>
  <c r="I26" i="24"/>
  <c r="J26" i="24"/>
  <c r="E27" i="24"/>
  <c r="F27" i="24"/>
  <c r="G27" i="24"/>
  <c r="H27" i="24"/>
  <c r="I27" i="24"/>
  <c r="J27" i="24"/>
  <c r="E28" i="24"/>
  <c r="F28" i="24"/>
  <c r="G28" i="24"/>
  <c r="H28" i="24"/>
  <c r="I28" i="24"/>
  <c r="J28" i="24"/>
  <c r="E29" i="24"/>
  <c r="F29" i="24"/>
  <c r="G29" i="24"/>
  <c r="H29" i="24"/>
  <c r="I29" i="24"/>
  <c r="J29" i="24"/>
  <c r="E30" i="24"/>
  <c r="F30" i="24"/>
  <c r="G30" i="24"/>
  <c r="H30" i="24"/>
  <c r="I30" i="24"/>
  <c r="J30" i="24"/>
  <c r="E31" i="24"/>
  <c r="F31" i="24"/>
  <c r="G31" i="24"/>
  <c r="H31" i="24"/>
  <c r="I31" i="24"/>
  <c r="E32" i="24"/>
  <c r="F32" i="24"/>
  <c r="G32" i="24"/>
  <c r="H32" i="24"/>
  <c r="I32" i="24"/>
  <c r="J32" i="24"/>
  <c r="E33" i="24"/>
  <c r="F33" i="24"/>
  <c r="G33" i="24"/>
  <c r="H33" i="24"/>
  <c r="I33" i="24"/>
  <c r="E34" i="24"/>
  <c r="F34" i="24"/>
  <c r="G34" i="24"/>
  <c r="H34" i="24"/>
  <c r="I34" i="24"/>
  <c r="E35" i="24"/>
  <c r="F35" i="24"/>
  <c r="G35" i="24"/>
  <c r="H35" i="24"/>
  <c r="I35" i="24"/>
  <c r="J35" i="24"/>
  <c r="E36" i="24"/>
  <c r="F36" i="24"/>
  <c r="G36" i="24"/>
  <c r="H36" i="24"/>
  <c r="I36" i="24"/>
  <c r="J36" i="24"/>
  <c r="E37" i="24"/>
  <c r="F37" i="24"/>
  <c r="G37" i="24"/>
  <c r="H37" i="24"/>
  <c r="I37" i="24"/>
  <c r="J37" i="24"/>
  <c r="E38" i="24"/>
  <c r="F38" i="24"/>
  <c r="G38" i="24"/>
  <c r="H38" i="24"/>
  <c r="I38" i="24"/>
  <c r="J38" i="24"/>
  <c r="E39" i="24"/>
  <c r="F39" i="24"/>
  <c r="G39" i="24"/>
  <c r="H39" i="24"/>
  <c r="I39" i="24"/>
  <c r="J39" i="24"/>
  <c r="C20" i="24"/>
  <c r="C21" i="24"/>
  <c r="C22" i="24"/>
  <c r="C23" i="24"/>
  <c r="C24" i="24"/>
  <c r="C25" i="24"/>
  <c r="C26" i="24"/>
  <c r="C27" i="24"/>
  <c r="C28" i="24"/>
  <c r="C29" i="24"/>
  <c r="C30" i="24"/>
  <c r="C31" i="24"/>
  <c r="C32" i="24"/>
  <c r="C33" i="24"/>
  <c r="C34" i="24"/>
  <c r="C35" i="24"/>
  <c r="C36" i="24"/>
  <c r="C37" i="24"/>
  <c r="C38" i="24"/>
  <c r="C39" i="24"/>
  <c r="D39" i="24"/>
  <c r="D38" i="24"/>
  <c r="D37" i="24"/>
  <c r="D36" i="24"/>
  <c r="D35" i="24"/>
  <c r="D34" i="24"/>
  <c r="D33" i="24"/>
  <c r="D32" i="24"/>
  <c r="D31" i="24"/>
  <c r="D30" i="24"/>
  <c r="D29" i="24"/>
  <c r="D28" i="24"/>
  <c r="D27" i="24"/>
  <c r="D26" i="24"/>
  <c r="D25" i="24"/>
  <c r="D24" i="24"/>
  <c r="D23" i="24"/>
  <c r="D22" i="24"/>
  <c r="D21" i="24"/>
  <c r="D20" i="24"/>
  <c r="E9" i="24"/>
  <c r="F9" i="24"/>
  <c r="G9" i="24"/>
  <c r="H9" i="24"/>
  <c r="I9" i="24"/>
  <c r="J9" i="24"/>
  <c r="E10" i="24"/>
  <c r="F10" i="24"/>
  <c r="G10" i="24"/>
  <c r="H10" i="24"/>
  <c r="I10" i="24"/>
  <c r="J10" i="24"/>
  <c r="E11" i="24"/>
  <c r="F11" i="24"/>
  <c r="G11" i="24"/>
  <c r="H11" i="24"/>
  <c r="I11" i="24"/>
  <c r="J11" i="24"/>
  <c r="E12" i="24"/>
  <c r="F12" i="24"/>
  <c r="G12" i="24"/>
  <c r="H12" i="24"/>
  <c r="I12" i="24"/>
  <c r="J12" i="24"/>
  <c r="C9" i="24"/>
  <c r="C10" i="24"/>
  <c r="C11" i="24"/>
  <c r="C12" i="24"/>
  <c r="D10" i="24"/>
  <c r="D12" i="24"/>
  <c r="E2" i="23"/>
  <c r="F2" i="23"/>
  <c r="G2" i="23"/>
  <c r="H2" i="23"/>
  <c r="I2" i="23"/>
  <c r="J2" i="23"/>
  <c r="E3" i="23"/>
  <c r="F3" i="23"/>
  <c r="G3" i="23"/>
  <c r="H3" i="23"/>
  <c r="I3" i="23"/>
  <c r="J3" i="23"/>
  <c r="E4" i="23"/>
  <c r="F4" i="23"/>
  <c r="G4" i="23"/>
  <c r="H4" i="23"/>
  <c r="I4" i="23"/>
  <c r="J4" i="23"/>
  <c r="E5" i="23"/>
  <c r="F5" i="23"/>
  <c r="G5" i="23"/>
  <c r="H5" i="23"/>
  <c r="I5" i="23"/>
  <c r="J5" i="23"/>
  <c r="C2" i="23"/>
  <c r="C3" i="23"/>
  <c r="C4" i="23"/>
  <c r="C5" i="23"/>
  <c r="D3" i="23"/>
  <c r="D2" i="23"/>
  <c r="E9" i="23"/>
  <c r="F9" i="23"/>
  <c r="G9" i="23"/>
  <c r="H9" i="23"/>
  <c r="I9" i="23"/>
  <c r="J9" i="23"/>
  <c r="E10" i="23"/>
  <c r="F10" i="23"/>
  <c r="G10" i="23"/>
  <c r="H10" i="23"/>
  <c r="I10" i="23"/>
  <c r="J10" i="23"/>
  <c r="E11" i="23"/>
  <c r="F11" i="23"/>
  <c r="G11" i="23"/>
  <c r="H11" i="23"/>
  <c r="I11" i="23"/>
  <c r="J11" i="23"/>
  <c r="E12" i="23"/>
  <c r="F12" i="23"/>
  <c r="G12" i="23"/>
  <c r="H12" i="23"/>
  <c r="I12" i="23"/>
  <c r="C9" i="23"/>
  <c r="C10" i="23"/>
  <c r="C11" i="23"/>
  <c r="C12" i="23"/>
  <c r="D12" i="23"/>
  <c r="D10" i="23"/>
  <c r="E18" i="23"/>
  <c r="F18" i="23"/>
  <c r="G18" i="23"/>
  <c r="H18" i="23"/>
  <c r="I18" i="23"/>
  <c r="J18" i="23"/>
  <c r="E19" i="23"/>
  <c r="F19" i="23"/>
  <c r="G19" i="23"/>
  <c r="H19" i="23"/>
  <c r="I19" i="23"/>
  <c r="J19" i="23"/>
  <c r="C18" i="23"/>
  <c r="C19" i="23"/>
  <c r="D19" i="23"/>
  <c r="D18" i="23"/>
  <c r="C22" i="23"/>
  <c r="C23" i="23"/>
  <c r="C24" i="23"/>
  <c r="C25" i="23"/>
  <c r="C26" i="23"/>
  <c r="C27" i="23"/>
  <c r="C28" i="23"/>
  <c r="C29" i="23"/>
  <c r="C30" i="23"/>
  <c r="C31" i="23"/>
  <c r="C32" i="23"/>
  <c r="C33" i="23"/>
  <c r="C34" i="23"/>
  <c r="C35" i="23"/>
  <c r="C36" i="23"/>
  <c r="C37" i="23"/>
  <c r="C38" i="23"/>
  <c r="C39" i="23"/>
  <c r="C40" i="23"/>
  <c r="C41" i="23"/>
  <c r="C42" i="23"/>
  <c r="E22" i="23"/>
  <c r="F22" i="23"/>
  <c r="G22" i="23"/>
  <c r="H22" i="23"/>
  <c r="I22" i="23"/>
  <c r="E23" i="23"/>
  <c r="F23" i="23"/>
  <c r="G23" i="23"/>
  <c r="H23" i="23"/>
  <c r="I23" i="23"/>
  <c r="E24" i="23"/>
  <c r="F24" i="23"/>
  <c r="G24" i="23"/>
  <c r="H24" i="23"/>
  <c r="I24" i="23"/>
  <c r="E25" i="23"/>
  <c r="F25" i="23"/>
  <c r="G25" i="23"/>
  <c r="H25" i="23"/>
  <c r="I25" i="23"/>
  <c r="E26" i="23"/>
  <c r="F26" i="23"/>
  <c r="G26" i="23"/>
  <c r="H26" i="23"/>
  <c r="I26" i="23"/>
  <c r="J26" i="23"/>
  <c r="E27" i="23"/>
  <c r="F27" i="23"/>
  <c r="G27" i="23"/>
  <c r="H27" i="23"/>
  <c r="I27" i="23"/>
  <c r="J27" i="23"/>
  <c r="E28" i="23"/>
  <c r="F28" i="23"/>
  <c r="G28" i="23"/>
  <c r="H28" i="23"/>
  <c r="I28" i="23"/>
  <c r="J28" i="23"/>
  <c r="E29" i="23"/>
  <c r="F29" i="23"/>
  <c r="G29" i="23"/>
  <c r="H29" i="23"/>
  <c r="I29" i="23"/>
  <c r="J29" i="23"/>
  <c r="E30" i="23"/>
  <c r="F30" i="23"/>
  <c r="G30" i="23"/>
  <c r="H30" i="23"/>
  <c r="I30" i="23"/>
  <c r="J30" i="23"/>
  <c r="E31" i="23"/>
  <c r="F31" i="23"/>
  <c r="G31" i="23"/>
  <c r="H31" i="23"/>
  <c r="I31" i="23"/>
  <c r="J31" i="23"/>
  <c r="E32" i="23"/>
  <c r="F32" i="23"/>
  <c r="G32" i="23"/>
  <c r="H32" i="23"/>
  <c r="I32" i="23"/>
  <c r="J32" i="23"/>
  <c r="E33" i="23"/>
  <c r="F33" i="23"/>
  <c r="G33" i="23"/>
  <c r="H33" i="23"/>
  <c r="I33" i="23"/>
  <c r="E34" i="23"/>
  <c r="F34" i="23"/>
  <c r="G34" i="23"/>
  <c r="H34" i="23"/>
  <c r="I34" i="23"/>
  <c r="J34" i="23"/>
  <c r="E35" i="23"/>
  <c r="F35" i="23"/>
  <c r="G35" i="23"/>
  <c r="H35" i="23"/>
  <c r="I35" i="23"/>
  <c r="E36" i="23"/>
  <c r="F36" i="23"/>
  <c r="G36" i="23"/>
  <c r="H36" i="23"/>
  <c r="I36" i="23"/>
  <c r="E37" i="23"/>
  <c r="F37" i="23"/>
  <c r="G37" i="23"/>
  <c r="H37" i="23"/>
  <c r="I37" i="23"/>
  <c r="J37" i="23"/>
  <c r="E38" i="23"/>
  <c r="F38" i="23"/>
  <c r="G38" i="23"/>
  <c r="H38" i="23"/>
  <c r="I38" i="23"/>
  <c r="J38" i="23"/>
  <c r="E39" i="23"/>
  <c r="F39" i="23"/>
  <c r="G39" i="23"/>
  <c r="H39" i="23"/>
  <c r="I39" i="23"/>
  <c r="J39" i="23"/>
  <c r="E40" i="23"/>
  <c r="F40" i="23"/>
  <c r="G40" i="23"/>
  <c r="H40" i="23"/>
  <c r="I40" i="23"/>
  <c r="J40" i="23"/>
  <c r="E41" i="23"/>
  <c r="F41" i="23"/>
  <c r="G41" i="23"/>
  <c r="H41" i="23"/>
  <c r="I41" i="23"/>
  <c r="J41" i="23"/>
  <c r="E42" i="23"/>
  <c r="F42" i="23"/>
  <c r="G42" i="23"/>
  <c r="H42" i="23"/>
  <c r="I42" i="23"/>
  <c r="D42" i="23"/>
  <c r="D41" i="23"/>
  <c r="D40" i="23"/>
  <c r="D39" i="23"/>
  <c r="D38" i="23"/>
  <c r="D37" i="23"/>
  <c r="D36" i="23"/>
  <c r="D35" i="23"/>
  <c r="D34" i="23"/>
  <c r="D33" i="23"/>
  <c r="D32" i="23"/>
  <c r="D31" i="23"/>
  <c r="D30" i="23"/>
  <c r="D29" i="23"/>
  <c r="D28" i="23"/>
  <c r="D27" i="23"/>
  <c r="D26" i="23"/>
  <c r="D25" i="23"/>
  <c r="D24" i="23"/>
  <c r="D23" i="23"/>
  <c r="D22" i="23"/>
  <c r="N87" i="5"/>
  <c r="M87" i="5" s="1"/>
  <c r="Q279" i="5"/>
  <c r="R279" i="5"/>
  <c r="S279" i="5"/>
  <c r="N279" i="5" s="1"/>
  <c r="M279" i="5" s="1"/>
  <c r="Q281" i="5"/>
  <c r="R281" i="5"/>
  <c r="Q87" i="5"/>
  <c r="R87" i="5"/>
  <c r="S87" i="5"/>
  <c r="D87" i="5"/>
  <c r="D281" i="5"/>
  <c r="D279" i="5"/>
  <c r="B2" i="4"/>
  <c r="G2" i="4" s="1"/>
  <c r="C2" i="4"/>
  <c r="J2" i="4" s="1"/>
  <c r="B3" i="4"/>
  <c r="G3" i="4" s="1"/>
  <c r="C3" i="4"/>
  <c r="J3" i="4" s="1"/>
  <c r="B4" i="4"/>
  <c r="G4" i="4" s="1"/>
  <c r="C4" i="4"/>
  <c r="J4" i="4" s="1"/>
  <c r="B5" i="4"/>
  <c r="G5" i="4" s="1"/>
  <c r="C5" i="4"/>
  <c r="J5" i="4" s="1"/>
  <c r="B6" i="4"/>
  <c r="G6" i="4" s="1"/>
  <c r="C6" i="4"/>
  <c r="J6" i="4" s="1"/>
  <c r="B7" i="4"/>
  <c r="G7" i="4" s="1"/>
  <c r="C7" i="4"/>
  <c r="J7" i="4" s="1"/>
  <c r="B8" i="4"/>
  <c r="G8" i="4" s="1"/>
  <c r="C8" i="4"/>
  <c r="J8" i="4" s="1"/>
  <c r="B9" i="4"/>
  <c r="G9" i="4" s="1"/>
  <c r="C9" i="4"/>
  <c r="J9" i="4" s="1"/>
  <c r="B10" i="4"/>
  <c r="G10" i="4" s="1"/>
  <c r="C10" i="4"/>
  <c r="J10" i="4" s="1"/>
  <c r="B11" i="4"/>
  <c r="G11" i="4" s="1"/>
  <c r="C11" i="4"/>
  <c r="J11" i="4" s="1"/>
  <c r="B12" i="4"/>
  <c r="G12" i="4" s="1"/>
  <c r="C12" i="4"/>
  <c r="J12" i="4" s="1"/>
  <c r="B13" i="4"/>
  <c r="G13" i="4" s="1"/>
  <c r="C13" i="4"/>
  <c r="J13" i="4" s="1"/>
  <c r="B14" i="4"/>
  <c r="G14" i="4" s="1"/>
  <c r="C14" i="4"/>
  <c r="J14" i="4" s="1"/>
  <c r="B15" i="4"/>
  <c r="G15" i="4" s="1"/>
  <c r="C15" i="4"/>
  <c r="J15" i="4" s="1"/>
  <c r="B16" i="4"/>
  <c r="G16" i="4" s="1"/>
  <c r="C16" i="4"/>
  <c r="J16" i="4" s="1"/>
  <c r="B17" i="4"/>
  <c r="G17" i="4" s="1"/>
  <c r="C17" i="4"/>
  <c r="J17" i="4" s="1"/>
  <c r="B18" i="4"/>
  <c r="G18" i="4" s="1"/>
  <c r="C18" i="4"/>
  <c r="J18" i="4" s="1"/>
  <c r="B19" i="4"/>
  <c r="G19" i="4" s="1"/>
  <c r="C19" i="4"/>
  <c r="J19" i="4" s="1"/>
  <c r="B20" i="4"/>
  <c r="G20" i="4" s="1"/>
  <c r="C20" i="4"/>
  <c r="J20" i="4" s="1"/>
  <c r="B21" i="4"/>
  <c r="G21" i="4" s="1"/>
  <c r="C21" i="4"/>
  <c r="J21" i="4" s="1"/>
  <c r="B22" i="4"/>
  <c r="G22" i="4" s="1"/>
  <c r="C22" i="4"/>
  <c r="J22" i="4" s="1"/>
  <c r="B23" i="4"/>
  <c r="G23" i="4" s="1"/>
  <c r="C23" i="4"/>
  <c r="J23" i="4" s="1"/>
  <c r="B24" i="4"/>
  <c r="G24" i="4" s="1"/>
  <c r="C24" i="4"/>
  <c r="J24" i="4" s="1"/>
  <c r="B25" i="4"/>
  <c r="G25" i="4" s="1"/>
  <c r="C25" i="4"/>
  <c r="J25" i="4" s="1"/>
  <c r="B26" i="4"/>
  <c r="G26" i="4" s="1"/>
  <c r="C26" i="4"/>
  <c r="J26" i="4" s="1"/>
  <c r="B27" i="4"/>
  <c r="G27" i="4" s="1"/>
  <c r="C27" i="4"/>
  <c r="J27" i="4" s="1"/>
  <c r="B28" i="4"/>
  <c r="G28" i="4" s="1"/>
  <c r="C28" i="4"/>
  <c r="J28" i="4" s="1"/>
  <c r="B29" i="4"/>
  <c r="G29" i="4" s="1"/>
  <c r="C29" i="4"/>
  <c r="J29" i="4" s="1"/>
  <c r="B30" i="4"/>
  <c r="G30" i="4" s="1"/>
  <c r="C30" i="4"/>
  <c r="J30" i="4" s="1"/>
  <c r="B31" i="4"/>
  <c r="G31" i="4" s="1"/>
  <c r="C31" i="4"/>
  <c r="J31" i="4" s="1"/>
  <c r="B32" i="4"/>
  <c r="G32" i="4" s="1"/>
  <c r="C32" i="4"/>
  <c r="J32" i="4" s="1"/>
  <c r="B33" i="4"/>
  <c r="G33" i="4" s="1"/>
  <c r="C33" i="4"/>
  <c r="J33" i="4" s="1"/>
  <c r="B34" i="4"/>
  <c r="G34" i="4" s="1"/>
  <c r="C34" i="4"/>
  <c r="J34" i="4" s="1"/>
  <c r="B35" i="4"/>
  <c r="G35" i="4" s="1"/>
  <c r="C35" i="4"/>
  <c r="J35" i="4" s="1"/>
  <c r="B36" i="4"/>
  <c r="G36" i="4" s="1"/>
  <c r="C36" i="4"/>
  <c r="J36" i="4" s="1"/>
  <c r="B37" i="4"/>
  <c r="G37" i="4" s="1"/>
  <c r="C37" i="4"/>
  <c r="J37" i="4" s="1"/>
  <c r="B38" i="4"/>
  <c r="G38" i="4" s="1"/>
  <c r="C38" i="4"/>
  <c r="J38" i="4" s="1"/>
  <c r="B39" i="4"/>
  <c r="G39" i="4" s="1"/>
  <c r="C39" i="4"/>
  <c r="J39" i="4" s="1"/>
  <c r="B40" i="4"/>
  <c r="G40" i="4" s="1"/>
  <c r="C40" i="4"/>
  <c r="J40" i="4" s="1"/>
  <c r="B41" i="4"/>
  <c r="G41" i="4" s="1"/>
  <c r="C41" i="4"/>
  <c r="J41" i="4" s="1"/>
  <c r="B42" i="4"/>
  <c r="G42" i="4" s="1"/>
  <c r="C42" i="4"/>
  <c r="J42" i="4" s="1"/>
  <c r="B43" i="4"/>
  <c r="G43" i="4" s="1"/>
  <c r="C43" i="4"/>
  <c r="J43" i="4" s="1"/>
  <c r="B44" i="4"/>
  <c r="G44" i="4" s="1"/>
  <c r="C44" i="4"/>
  <c r="J44" i="4" s="1"/>
  <c r="B45" i="4"/>
  <c r="G45" i="4" s="1"/>
  <c r="C45" i="4"/>
  <c r="J45" i="4" s="1"/>
  <c r="B46" i="4"/>
  <c r="G46" i="4" s="1"/>
  <c r="C46" i="4"/>
  <c r="J46" i="4" s="1"/>
  <c r="B47" i="4"/>
  <c r="G47" i="4" s="1"/>
  <c r="C47" i="4"/>
  <c r="J47" i="4" s="1"/>
  <c r="B48" i="4"/>
  <c r="G48" i="4" s="1"/>
  <c r="C48" i="4"/>
  <c r="J48" i="4" s="1"/>
  <c r="B49" i="4"/>
  <c r="G49" i="4" s="1"/>
  <c r="C49" i="4"/>
  <c r="J49" i="4" s="1"/>
  <c r="B50" i="4"/>
  <c r="G50" i="4" s="1"/>
  <c r="C50" i="4"/>
  <c r="J50" i="4" s="1"/>
  <c r="B51" i="4"/>
  <c r="G51" i="4" s="1"/>
  <c r="C51" i="4"/>
  <c r="J51" i="4" s="1"/>
  <c r="B52" i="4"/>
  <c r="G52" i="4" s="1"/>
  <c r="C52" i="4"/>
  <c r="J52" i="4" s="1"/>
  <c r="B53" i="4"/>
  <c r="G53" i="4" s="1"/>
  <c r="C53" i="4"/>
  <c r="J53" i="4" s="1"/>
  <c r="B54" i="4"/>
  <c r="G54" i="4" s="1"/>
  <c r="C54" i="4"/>
  <c r="J54" i="4" s="1"/>
  <c r="B55" i="4"/>
  <c r="G55" i="4" s="1"/>
  <c r="C55" i="4"/>
  <c r="J55" i="4" s="1"/>
  <c r="B56" i="4"/>
  <c r="G56" i="4" s="1"/>
  <c r="C56" i="4"/>
  <c r="J56" i="4" s="1"/>
  <c r="B57" i="4"/>
  <c r="G57" i="4" s="1"/>
  <c r="C57" i="4"/>
  <c r="J57" i="4" s="1"/>
  <c r="B58" i="4"/>
  <c r="G58" i="4" s="1"/>
  <c r="C58" i="4"/>
  <c r="J58" i="4" s="1"/>
  <c r="B59" i="4"/>
  <c r="G59" i="4" s="1"/>
  <c r="C59" i="4"/>
  <c r="J59" i="4" s="1"/>
  <c r="B60" i="4"/>
  <c r="G60" i="4" s="1"/>
  <c r="C60" i="4"/>
  <c r="J60" i="4" s="1"/>
  <c r="B61" i="4"/>
  <c r="G61" i="4" s="1"/>
  <c r="C61" i="4"/>
  <c r="J61" i="4" s="1"/>
  <c r="B62" i="4"/>
  <c r="G62" i="4" s="1"/>
  <c r="C62" i="4"/>
  <c r="J62" i="4" s="1"/>
  <c r="B63" i="4"/>
  <c r="G63" i="4" s="1"/>
  <c r="C63" i="4"/>
  <c r="J63" i="4" s="1"/>
  <c r="B64" i="4"/>
  <c r="G64" i="4" s="1"/>
  <c r="C64" i="4"/>
  <c r="J64" i="4" s="1"/>
  <c r="B65" i="4"/>
  <c r="G65" i="4" s="1"/>
  <c r="C65" i="4"/>
  <c r="J65" i="4" s="1"/>
  <c r="B66" i="4"/>
  <c r="G66" i="4" s="1"/>
  <c r="C66" i="4"/>
  <c r="J66" i="4" s="1"/>
  <c r="B67" i="4"/>
  <c r="G67" i="4" s="1"/>
  <c r="C67" i="4"/>
  <c r="J67" i="4" s="1"/>
  <c r="B68" i="4"/>
  <c r="G68" i="4" s="1"/>
  <c r="C68" i="4"/>
  <c r="J68" i="4" s="1"/>
  <c r="B69" i="4"/>
  <c r="G69" i="4" s="1"/>
  <c r="C69" i="4"/>
  <c r="J69" i="4" s="1"/>
  <c r="B70" i="4"/>
  <c r="G70" i="4" s="1"/>
  <c r="C70" i="4"/>
  <c r="J70" i="4" s="1"/>
  <c r="B71" i="4"/>
  <c r="G71" i="4" s="1"/>
  <c r="C71" i="4"/>
  <c r="J71" i="4" s="1"/>
  <c r="B72" i="4"/>
  <c r="G72" i="4" s="1"/>
  <c r="C72" i="4"/>
  <c r="J72" i="4" s="1"/>
  <c r="B73" i="4"/>
  <c r="G73" i="4" s="1"/>
  <c r="C73" i="4"/>
  <c r="J73" i="4" s="1"/>
  <c r="B74" i="4"/>
  <c r="G74" i="4" s="1"/>
  <c r="C74" i="4"/>
  <c r="J74" i="4" s="1"/>
  <c r="B75" i="4"/>
  <c r="G75" i="4" s="1"/>
  <c r="C75" i="4"/>
  <c r="J75" i="4" s="1"/>
  <c r="B76" i="4"/>
  <c r="G76" i="4" s="1"/>
  <c r="C76" i="4"/>
  <c r="J76" i="4" s="1"/>
  <c r="B77" i="4"/>
  <c r="G77" i="4" s="1"/>
  <c r="C77" i="4"/>
  <c r="J77" i="4" s="1"/>
  <c r="B78" i="4"/>
  <c r="G78" i="4" s="1"/>
  <c r="C78" i="4"/>
  <c r="J78" i="4" s="1"/>
  <c r="B79" i="4"/>
  <c r="G79" i="4" s="1"/>
  <c r="C79" i="4"/>
  <c r="J79" i="4" s="1"/>
  <c r="B80" i="4"/>
  <c r="G80" i="4" s="1"/>
  <c r="C80" i="4"/>
  <c r="J80" i="4" s="1"/>
  <c r="B81" i="4"/>
  <c r="G81" i="4" s="1"/>
  <c r="C81" i="4"/>
  <c r="J81" i="4" s="1"/>
  <c r="B82" i="4"/>
  <c r="G82" i="4" s="1"/>
  <c r="C82" i="4"/>
  <c r="J82" i="4" s="1"/>
  <c r="B83" i="4"/>
  <c r="G83" i="4" s="1"/>
  <c r="C83" i="4"/>
  <c r="J83" i="4" s="1"/>
  <c r="B84" i="4"/>
  <c r="G84" i="4" s="1"/>
  <c r="C84" i="4"/>
  <c r="J84" i="4" s="1"/>
  <c r="B85" i="4"/>
  <c r="G85" i="4" s="1"/>
  <c r="C85" i="4"/>
  <c r="J85" i="4" s="1"/>
  <c r="B86" i="4"/>
  <c r="G86" i="4" s="1"/>
  <c r="C86" i="4"/>
  <c r="J86" i="4" s="1"/>
  <c r="B87" i="4"/>
  <c r="G87" i="4" s="1"/>
  <c r="C87" i="4"/>
  <c r="J87" i="4" s="1"/>
  <c r="B88" i="4"/>
  <c r="G88" i="4" s="1"/>
  <c r="C88" i="4"/>
  <c r="J88" i="4" s="1"/>
  <c r="B89" i="4"/>
  <c r="G89" i="4" s="1"/>
  <c r="C89" i="4"/>
  <c r="J89" i="4" s="1"/>
  <c r="B90" i="4"/>
  <c r="G90" i="4" s="1"/>
  <c r="C90" i="4"/>
  <c r="J90" i="4" s="1"/>
  <c r="B91" i="4"/>
  <c r="G91" i="4" s="1"/>
  <c r="C91" i="4"/>
  <c r="J91" i="4" s="1"/>
  <c r="B92" i="4"/>
  <c r="G92" i="4" s="1"/>
  <c r="C92" i="4"/>
  <c r="J92" i="4" s="1"/>
  <c r="B93" i="4"/>
  <c r="G93" i="4" s="1"/>
  <c r="C93" i="4"/>
  <c r="J93" i="4" s="1"/>
  <c r="B94" i="4"/>
  <c r="G94" i="4" s="1"/>
  <c r="C94" i="4"/>
  <c r="J94" i="4" s="1"/>
  <c r="B95" i="4"/>
  <c r="G95" i="4" s="1"/>
  <c r="C95" i="4"/>
  <c r="J95" i="4" s="1"/>
  <c r="B96" i="4"/>
  <c r="G96" i="4" s="1"/>
  <c r="C96" i="4"/>
  <c r="J96" i="4" s="1"/>
  <c r="B97" i="4"/>
  <c r="G97" i="4" s="1"/>
  <c r="C97" i="4"/>
  <c r="J97" i="4" s="1"/>
  <c r="B98" i="4"/>
  <c r="G98" i="4" s="1"/>
  <c r="C98" i="4"/>
  <c r="J98" i="4" s="1"/>
  <c r="B99" i="4"/>
  <c r="G99" i="4" s="1"/>
  <c r="C99" i="4"/>
  <c r="J99" i="4" s="1"/>
  <c r="B100" i="4"/>
  <c r="G100" i="4" s="1"/>
  <c r="C100" i="4"/>
  <c r="J100" i="4" s="1"/>
  <c r="B101" i="4"/>
  <c r="G101" i="4" s="1"/>
  <c r="C101" i="4"/>
  <c r="J101" i="4" s="1"/>
  <c r="B102" i="4"/>
  <c r="G102" i="4" s="1"/>
  <c r="C102" i="4"/>
  <c r="J102" i="4" s="1"/>
  <c r="B103" i="4"/>
  <c r="G103" i="4" s="1"/>
  <c r="C103" i="4"/>
  <c r="J103" i="4" s="1"/>
  <c r="B104" i="4"/>
  <c r="G104" i="4" s="1"/>
  <c r="C104" i="4"/>
  <c r="J104" i="4" s="1"/>
  <c r="B105" i="4"/>
  <c r="G105" i="4" s="1"/>
  <c r="C105" i="4"/>
  <c r="J105" i="4" s="1"/>
  <c r="B106" i="4"/>
  <c r="G106" i="4" s="1"/>
  <c r="C106" i="4"/>
  <c r="J106" i="4" s="1"/>
  <c r="B107" i="4"/>
  <c r="G107" i="4" s="1"/>
  <c r="C107" i="4"/>
  <c r="J107" i="4" s="1"/>
  <c r="B108" i="4"/>
  <c r="G108" i="4" s="1"/>
  <c r="C108" i="4"/>
  <c r="J108" i="4" s="1"/>
  <c r="B109" i="4"/>
  <c r="G109" i="4" s="1"/>
  <c r="C109" i="4"/>
  <c r="J109" i="4" s="1"/>
  <c r="B110" i="4"/>
  <c r="G110" i="4" s="1"/>
  <c r="C110" i="4"/>
  <c r="J110" i="4" s="1"/>
  <c r="B111" i="4"/>
  <c r="G111" i="4" s="1"/>
  <c r="C111" i="4"/>
  <c r="J111" i="4" s="1"/>
  <c r="B112" i="4"/>
  <c r="G112" i="4" s="1"/>
  <c r="C112" i="4"/>
  <c r="J112" i="4" s="1"/>
  <c r="B113" i="4"/>
  <c r="G113" i="4" s="1"/>
  <c r="C113" i="4"/>
  <c r="J113" i="4" s="1"/>
  <c r="B114" i="4"/>
  <c r="G114" i="4" s="1"/>
  <c r="C114" i="4"/>
  <c r="J114" i="4" s="1"/>
  <c r="B115" i="4"/>
  <c r="G115" i="4" s="1"/>
  <c r="C115" i="4"/>
  <c r="J115" i="4" s="1"/>
  <c r="B116" i="4"/>
  <c r="G116" i="4" s="1"/>
  <c r="C116" i="4"/>
  <c r="J116" i="4" s="1"/>
  <c r="B117" i="4"/>
  <c r="G117" i="4" s="1"/>
  <c r="C117" i="4"/>
  <c r="J117" i="4" s="1"/>
  <c r="B118" i="4"/>
  <c r="G118" i="4" s="1"/>
  <c r="C118" i="4"/>
  <c r="J118" i="4" s="1"/>
  <c r="B119" i="4"/>
  <c r="G119" i="4" s="1"/>
  <c r="C119" i="4"/>
  <c r="J119" i="4" s="1"/>
  <c r="B120" i="4"/>
  <c r="G120" i="4" s="1"/>
  <c r="C120" i="4"/>
  <c r="J120" i="4" s="1"/>
  <c r="B121" i="4"/>
  <c r="G121" i="4" s="1"/>
  <c r="C121" i="4"/>
  <c r="J121" i="4" s="1"/>
  <c r="B122" i="4"/>
  <c r="G122" i="4" s="1"/>
  <c r="C122" i="4"/>
  <c r="J122" i="4" s="1"/>
  <c r="B123" i="4"/>
  <c r="G123" i="4" s="1"/>
  <c r="C123" i="4"/>
  <c r="J123" i="4" s="1"/>
  <c r="B124" i="4"/>
  <c r="G124" i="4" s="1"/>
  <c r="C124" i="4"/>
  <c r="J124" i="4" s="1"/>
  <c r="B125" i="4"/>
  <c r="G125" i="4" s="1"/>
  <c r="C125" i="4"/>
  <c r="J125" i="4" s="1"/>
  <c r="B126" i="4"/>
  <c r="G126" i="4" s="1"/>
  <c r="C126" i="4"/>
  <c r="J126" i="4" s="1"/>
  <c r="B127" i="4"/>
  <c r="G127" i="4" s="1"/>
  <c r="C127" i="4"/>
  <c r="J127" i="4" s="1"/>
  <c r="B128" i="4"/>
  <c r="G128" i="4" s="1"/>
  <c r="C128" i="4"/>
  <c r="J128" i="4" s="1"/>
  <c r="B129" i="4"/>
  <c r="G129" i="4" s="1"/>
  <c r="C129" i="4"/>
  <c r="J129" i="4" s="1"/>
  <c r="B130" i="4"/>
  <c r="G130" i="4" s="1"/>
  <c r="C130" i="4"/>
  <c r="J130" i="4" s="1"/>
  <c r="B131" i="4"/>
  <c r="G131" i="4" s="1"/>
  <c r="C131" i="4"/>
  <c r="J131" i="4" s="1"/>
  <c r="B132" i="4"/>
  <c r="G132" i="4" s="1"/>
  <c r="C132" i="4"/>
  <c r="J132" i="4" s="1"/>
  <c r="B133" i="4"/>
  <c r="G133" i="4" s="1"/>
  <c r="C133" i="4"/>
  <c r="J133" i="4" s="1"/>
  <c r="B134" i="4"/>
  <c r="G134" i="4" s="1"/>
  <c r="C134" i="4"/>
  <c r="J134" i="4" s="1"/>
  <c r="B135" i="4"/>
  <c r="G135" i="4" s="1"/>
  <c r="C135" i="4"/>
  <c r="J135" i="4" s="1"/>
  <c r="B136" i="4"/>
  <c r="G136" i="4" s="1"/>
  <c r="C136" i="4"/>
  <c r="J136" i="4" s="1"/>
  <c r="B137" i="4"/>
  <c r="G137" i="4" s="1"/>
  <c r="C137" i="4"/>
  <c r="J137" i="4" s="1"/>
  <c r="B138" i="4"/>
  <c r="G138" i="4" s="1"/>
  <c r="C138" i="4"/>
  <c r="J138" i="4" s="1"/>
  <c r="B139" i="4"/>
  <c r="G139" i="4" s="1"/>
  <c r="C139" i="4"/>
  <c r="J139" i="4" s="1"/>
  <c r="B140" i="4"/>
  <c r="G140" i="4" s="1"/>
  <c r="C140" i="4"/>
  <c r="J140" i="4" s="1"/>
  <c r="B141" i="4"/>
  <c r="G141" i="4" s="1"/>
  <c r="C141" i="4"/>
  <c r="J141" i="4" s="1"/>
  <c r="B142" i="4"/>
  <c r="G142" i="4" s="1"/>
  <c r="C142" i="4"/>
  <c r="J142" i="4" s="1"/>
  <c r="B143" i="4"/>
  <c r="G143" i="4" s="1"/>
  <c r="C143" i="4"/>
  <c r="J143" i="4" s="1"/>
  <c r="B144" i="4"/>
  <c r="G144" i="4" s="1"/>
  <c r="C144" i="4"/>
  <c r="J144" i="4" s="1"/>
  <c r="B145" i="4"/>
  <c r="G145" i="4" s="1"/>
  <c r="C145" i="4"/>
  <c r="J145" i="4" s="1"/>
  <c r="B146" i="4"/>
  <c r="G146" i="4" s="1"/>
  <c r="C146" i="4"/>
  <c r="J146" i="4" s="1"/>
  <c r="B147" i="4"/>
  <c r="G147" i="4" s="1"/>
  <c r="C147" i="4"/>
  <c r="J147" i="4" s="1"/>
  <c r="B148" i="4"/>
  <c r="G148" i="4" s="1"/>
  <c r="C148" i="4"/>
  <c r="J148" i="4" s="1"/>
  <c r="B149" i="4"/>
  <c r="G149" i="4" s="1"/>
  <c r="C149" i="4"/>
  <c r="J149" i="4" s="1"/>
  <c r="B150" i="4"/>
  <c r="G150" i="4" s="1"/>
  <c r="C150" i="4"/>
  <c r="J150" i="4" s="1"/>
  <c r="B151" i="4"/>
  <c r="G151" i="4" s="1"/>
  <c r="C151" i="4"/>
  <c r="J151" i="4" s="1"/>
  <c r="B152" i="4"/>
  <c r="G152" i="4" s="1"/>
  <c r="C152" i="4"/>
  <c r="J152" i="4" s="1"/>
  <c r="B153" i="4"/>
  <c r="G153" i="4" s="1"/>
  <c r="C153" i="4"/>
  <c r="J153" i="4" s="1"/>
  <c r="B154" i="4"/>
  <c r="G154" i="4" s="1"/>
  <c r="C154" i="4"/>
  <c r="J154" i="4" s="1"/>
  <c r="C155" i="4"/>
  <c r="J155" i="4" s="1"/>
  <c r="B156" i="4"/>
  <c r="G156" i="4" s="1"/>
  <c r="C156" i="4"/>
  <c r="J156" i="4" s="1"/>
  <c r="B157" i="4"/>
  <c r="G157" i="4" s="1"/>
  <c r="C157" i="4"/>
  <c r="J157" i="4" s="1"/>
  <c r="B158" i="4"/>
  <c r="G158" i="4" s="1"/>
  <c r="C158" i="4"/>
  <c r="J158" i="4" s="1"/>
  <c r="B159" i="4"/>
  <c r="G159" i="4" s="1"/>
  <c r="C159" i="4"/>
  <c r="J159" i="4" s="1"/>
  <c r="B160" i="4"/>
  <c r="G160" i="4" s="1"/>
  <c r="C160" i="4"/>
  <c r="J160" i="4" s="1"/>
  <c r="B161" i="4"/>
  <c r="G161" i="4" s="1"/>
  <c r="C161" i="4"/>
  <c r="J161" i="4" s="1"/>
  <c r="B162" i="4"/>
  <c r="G162" i="4" s="1"/>
  <c r="C162" i="4"/>
  <c r="J162" i="4" s="1"/>
  <c r="B163" i="4"/>
  <c r="G163" i="4" s="1"/>
  <c r="C163" i="4"/>
  <c r="J163" i="4" s="1"/>
  <c r="B164" i="4"/>
  <c r="G164" i="4" s="1"/>
  <c r="C164" i="4"/>
  <c r="J164" i="4" s="1"/>
  <c r="B165" i="4"/>
  <c r="G165" i="4" s="1"/>
  <c r="C165" i="4"/>
  <c r="J165" i="4" s="1"/>
  <c r="B166" i="4"/>
  <c r="G166" i="4" s="1"/>
  <c r="C166" i="4"/>
  <c r="J166" i="4" s="1"/>
  <c r="B167" i="4"/>
  <c r="G167" i="4" s="1"/>
  <c r="C167" i="4"/>
  <c r="J167" i="4" s="1"/>
  <c r="B168" i="4"/>
  <c r="G168" i="4" s="1"/>
  <c r="C168" i="4"/>
  <c r="J168" i="4" s="1"/>
  <c r="B169" i="4"/>
  <c r="G169" i="4" s="1"/>
  <c r="C169" i="4"/>
  <c r="J169" i="4" s="1"/>
  <c r="B170" i="4"/>
  <c r="G170" i="4" s="1"/>
  <c r="C170" i="4"/>
  <c r="J170" i="4" s="1"/>
  <c r="B171" i="4"/>
  <c r="G171" i="4" s="1"/>
  <c r="C171" i="4"/>
  <c r="J171" i="4" s="1"/>
  <c r="B172" i="4"/>
  <c r="G172" i="4" s="1"/>
  <c r="C172" i="4"/>
  <c r="J172" i="4" s="1"/>
  <c r="B173" i="4"/>
  <c r="G173" i="4" s="1"/>
  <c r="C173" i="4"/>
  <c r="J173" i="4" s="1"/>
  <c r="B174" i="4"/>
  <c r="G174" i="4" s="1"/>
  <c r="C174" i="4"/>
  <c r="J174" i="4" s="1"/>
  <c r="B175" i="4"/>
  <c r="G175" i="4" s="1"/>
  <c r="C175" i="4"/>
  <c r="J175" i="4" s="1"/>
  <c r="B176" i="4"/>
  <c r="G176" i="4" s="1"/>
  <c r="C176" i="4"/>
  <c r="J176" i="4" s="1"/>
  <c r="B177" i="4"/>
  <c r="G177" i="4" s="1"/>
  <c r="C177" i="4"/>
  <c r="J177" i="4" s="1"/>
  <c r="B178" i="4"/>
  <c r="G178" i="4" s="1"/>
  <c r="C178" i="4"/>
  <c r="J178" i="4" s="1"/>
  <c r="B179" i="4"/>
  <c r="G179" i="4" s="1"/>
  <c r="C179" i="4"/>
  <c r="J179" i="4" s="1"/>
  <c r="B180" i="4"/>
  <c r="G180" i="4" s="1"/>
  <c r="C180" i="4"/>
  <c r="J180" i="4" s="1"/>
  <c r="B181" i="4"/>
  <c r="G181" i="4" s="1"/>
  <c r="C181" i="4"/>
  <c r="J181" i="4" s="1"/>
  <c r="B182" i="4"/>
  <c r="G182" i="4" s="1"/>
  <c r="C182" i="4"/>
  <c r="J182" i="4" s="1"/>
  <c r="B183" i="4"/>
  <c r="G183" i="4" s="1"/>
  <c r="C183" i="4"/>
  <c r="J183" i="4" s="1"/>
  <c r="B184" i="4"/>
  <c r="G184" i="4" s="1"/>
  <c r="C184" i="4"/>
  <c r="J184" i="4" s="1"/>
  <c r="B185" i="4"/>
  <c r="G185" i="4" s="1"/>
  <c r="C185" i="4"/>
  <c r="J185" i="4" s="1"/>
  <c r="B186" i="4"/>
  <c r="G186" i="4" s="1"/>
  <c r="C186" i="4"/>
  <c r="J186" i="4" s="1"/>
  <c r="B187" i="4"/>
  <c r="G187" i="4" s="1"/>
  <c r="C187" i="4"/>
  <c r="J187" i="4" s="1"/>
  <c r="B188" i="4"/>
  <c r="G188" i="4" s="1"/>
  <c r="C188" i="4"/>
  <c r="J188" i="4" s="1"/>
  <c r="B189" i="4"/>
  <c r="G189" i="4" s="1"/>
  <c r="C189" i="4"/>
  <c r="J189" i="4" s="1"/>
  <c r="B190" i="4"/>
  <c r="G190" i="4" s="1"/>
  <c r="C190" i="4"/>
  <c r="J190" i="4" s="1"/>
  <c r="B191" i="4"/>
  <c r="G191" i="4" s="1"/>
  <c r="C191" i="4"/>
  <c r="J191" i="4" s="1"/>
  <c r="B192" i="4"/>
  <c r="G192" i="4" s="1"/>
  <c r="C192" i="4"/>
  <c r="J192" i="4" s="1"/>
  <c r="B193" i="4"/>
  <c r="G193" i="4" s="1"/>
  <c r="C193" i="4"/>
  <c r="J193" i="4" s="1"/>
  <c r="B194" i="4"/>
  <c r="G194" i="4" s="1"/>
  <c r="C194" i="4"/>
  <c r="J194" i="4" s="1"/>
  <c r="B195" i="4"/>
  <c r="G195" i="4" s="1"/>
  <c r="C195" i="4"/>
  <c r="J195" i="4" s="1"/>
  <c r="B196" i="4"/>
  <c r="G196" i="4" s="1"/>
  <c r="C196" i="4"/>
  <c r="J196" i="4" s="1"/>
  <c r="B197" i="4"/>
  <c r="G197" i="4" s="1"/>
  <c r="C197" i="4"/>
  <c r="J197" i="4" s="1"/>
  <c r="B198" i="4"/>
  <c r="G198" i="4" s="1"/>
  <c r="C198" i="4"/>
  <c r="J198" i="4" s="1"/>
  <c r="B199" i="4"/>
  <c r="G199" i="4" s="1"/>
  <c r="C199" i="4"/>
  <c r="J199" i="4" s="1"/>
  <c r="B200" i="4"/>
  <c r="G200" i="4" s="1"/>
  <c r="C200" i="4"/>
  <c r="J200" i="4" s="1"/>
  <c r="B201" i="4"/>
  <c r="G201" i="4" s="1"/>
  <c r="C201" i="4"/>
  <c r="J201" i="4" s="1"/>
  <c r="B202" i="4"/>
  <c r="G202" i="4" s="1"/>
  <c r="C202" i="4"/>
  <c r="J202" i="4" s="1"/>
  <c r="B203" i="4"/>
  <c r="G203" i="4" s="1"/>
  <c r="C203" i="4"/>
  <c r="J203" i="4" s="1"/>
  <c r="B204" i="4"/>
  <c r="G204" i="4" s="1"/>
  <c r="C204" i="4"/>
  <c r="J204" i="4" s="1"/>
  <c r="B205" i="4"/>
  <c r="G205" i="4" s="1"/>
  <c r="C205" i="4"/>
  <c r="J205" i="4" s="1"/>
  <c r="B206" i="4"/>
  <c r="G206" i="4" s="1"/>
  <c r="C206" i="4"/>
  <c r="J206" i="4" s="1"/>
  <c r="B207" i="4"/>
  <c r="G207" i="4" s="1"/>
  <c r="C207" i="4"/>
  <c r="J207" i="4" s="1"/>
  <c r="B208" i="4"/>
  <c r="G208" i="4" s="1"/>
  <c r="C208" i="4"/>
  <c r="J208" i="4" s="1"/>
  <c r="B209" i="4"/>
  <c r="G209" i="4" s="1"/>
  <c r="C209" i="4"/>
  <c r="J209" i="4" s="1"/>
  <c r="B210" i="4"/>
  <c r="G210" i="4" s="1"/>
  <c r="C210" i="4"/>
  <c r="J210" i="4" s="1"/>
  <c r="B211" i="4"/>
  <c r="G211" i="4" s="1"/>
  <c r="C211" i="4"/>
  <c r="J211" i="4" s="1"/>
  <c r="B212" i="4"/>
  <c r="G212" i="4" s="1"/>
  <c r="C212" i="4"/>
  <c r="J212" i="4" s="1"/>
  <c r="B213" i="4"/>
  <c r="G213" i="4" s="1"/>
  <c r="C213" i="4"/>
  <c r="J213" i="4" s="1"/>
  <c r="B214" i="4"/>
  <c r="G214" i="4" s="1"/>
  <c r="C214" i="4"/>
  <c r="J214" i="4" s="1"/>
  <c r="B215" i="4"/>
  <c r="G215" i="4" s="1"/>
  <c r="C215" i="4"/>
  <c r="J215" i="4" s="1"/>
  <c r="C216" i="4"/>
  <c r="J216" i="4" s="1"/>
  <c r="B217" i="4"/>
  <c r="G217" i="4" s="1"/>
  <c r="C217" i="4"/>
  <c r="J217" i="4" s="1"/>
  <c r="B218" i="4"/>
  <c r="G218" i="4" s="1"/>
  <c r="C218" i="4"/>
  <c r="J218" i="4" s="1"/>
  <c r="B219" i="4"/>
  <c r="G219" i="4" s="1"/>
  <c r="C219" i="4"/>
  <c r="J219" i="4" s="1"/>
  <c r="B220" i="4"/>
  <c r="G220" i="4" s="1"/>
  <c r="C220" i="4"/>
  <c r="J220" i="4" s="1"/>
  <c r="B221" i="4"/>
  <c r="G221" i="4" s="1"/>
  <c r="C221" i="4"/>
  <c r="J221" i="4" s="1"/>
  <c r="B222" i="4"/>
  <c r="G222" i="4" s="1"/>
  <c r="C222" i="4"/>
  <c r="J222" i="4" s="1"/>
  <c r="B223" i="4"/>
  <c r="G223" i="4" s="1"/>
  <c r="C223" i="4"/>
  <c r="J223" i="4" s="1"/>
  <c r="B224" i="4"/>
  <c r="G224" i="4" s="1"/>
  <c r="C224" i="4"/>
  <c r="J224" i="4" s="1"/>
  <c r="B225" i="4"/>
  <c r="G225" i="4" s="1"/>
  <c r="C225" i="4"/>
  <c r="J225" i="4" s="1"/>
  <c r="B226" i="4"/>
  <c r="G226" i="4" s="1"/>
  <c r="C226" i="4"/>
  <c r="J226" i="4" s="1"/>
  <c r="B227" i="4"/>
  <c r="G227" i="4" s="1"/>
  <c r="C227" i="4"/>
  <c r="J227" i="4" s="1"/>
  <c r="B228" i="4"/>
  <c r="G228" i="4" s="1"/>
  <c r="C228" i="4"/>
  <c r="J228" i="4" s="1"/>
  <c r="B229" i="4"/>
  <c r="G229" i="4" s="1"/>
  <c r="C229" i="4"/>
  <c r="J229" i="4" s="1"/>
  <c r="B230" i="4"/>
  <c r="G230" i="4" s="1"/>
  <c r="C230" i="4"/>
  <c r="J230" i="4" s="1"/>
  <c r="B231" i="4"/>
  <c r="G231" i="4" s="1"/>
  <c r="C231" i="4"/>
  <c r="J231" i="4" s="1"/>
  <c r="B232" i="4"/>
  <c r="G232" i="4" s="1"/>
  <c r="C232" i="4"/>
  <c r="J232" i="4" s="1"/>
  <c r="B233" i="4"/>
  <c r="G233" i="4" s="1"/>
  <c r="C233" i="4"/>
  <c r="J233" i="4" s="1"/>
  <c r="C234" i="4"/>
  <c r="J234" i="4" s="1"/>
  <c r="C235" i="4"/>
  <c r="J235" i="4" s="1"/>
  <c r="C236" i="4"/>
  <c r="J236" i="4" s="1"/>
  <c r="C237" i="4"/>
  <c r="J237" i="4" s="1"/>
  <c r="B238" i="4"/>
  <c r="G238" i="4" s="1"/>
  <c r="C238" i="4"/>
  <c r="J238" i="4" s="1"/>
  <c r="B239" i="4"/>
  <c r="G239" i="4" s="1"/>
  <c r="C239" i="4"/>
  <c r="J239" i="4" s="1"/>
  <c r="B240" i="4"/>
  <c r="G240" i="4" s="1"/>
  <c r="C240" i="4"/>
  <c r="J240" i="4" s="1"/>
  <c r="B241" i="4"/>
  <c r="G241" i="4" s="1"/>
  <c r="C241" i="4"/>
  <c r="J241" i="4" s="1"/>
  <c r="B242" i="4"/>
  <c r="G242" i="4" s="1"/>
  <c r="C242" i="4"/>
  <c r="J242" i="4" s="1"/>
  <c r="B243" i="4"/>
  <c r="G243" i="4" s="1"/>
  <c r="C243" i="4"/>
  <c r="J243" i="4" s="1"/>
  <c r="B244" i="4"/>
  <c r="G244" i="4" s="1"/>
  <c r="C244" i="4"/>
  <c r="J244" i="4" s="1"/>
  <c r="B245" i="4"/>
  <c r="G245" i="4" s="1"/>
  <c r="C245" i="4"/>
  <c r="J245" i="4" s="1"/>
  <c r="B246" i="4"/>
  <c r="G246" i="4" s="1"/>
  <c r="C246" i="4"/>
  <c r="J246" i="4" s="1"/>
  <c r="B247" i="4"/>
  <c r="G247" i="4" s="1"/>
  <c r="C247" i="4"/>
  <c r="J247" i="4" s="1"/>
  <c r="B248" i="4"/>
  <c r="G248" i="4" s="1"/>
  <c r="C248" i="4"/>
  <c r="J248" i="4" s="1"/>
  <c r="B249" i="4"/>
  <c r="G249" i="4" s="1"/>
  <c r="C249" i="4"/>
  <c r="J249" i="4" s="1"/>
  <c r="B250" i="4"/>
  <c r="G250" i="4" s="1"/>
  <c r="C250" i="4"/>
  <c r="J250" i="4" s="1"/>
  <c r="B251" i="4"/>
  <c r="G251" i="4" s="1"/>
  <c r="C251" i="4"/>
  <c r="J251" i="4" s="1"/>
  <c r="B252" i="4"/>
  <c r="G252" i="4" s="1"/>
  <c r="C252" i="4"/>
  <c r="J252" i="4" s="1"/>
  <c r="B253" i="4"/>
  <c r="G253" i="4" s="1"/>
  <c r="C253" i="4"/>
  <c r="J253" i="4" s="1"/>
  <c r="B254" i="4"/>
  <c r="G254" i="4" s="1"/>
  <c r="C254" i="4"/>
  <c r="J254" i="4" s="1"/>
  <c r="B255" i="4"/>
  <c r="G255" i="4" s="1"/>
  <c r="C255" i="4"/>
  <c r="J255" i="4" s="1"/>
  <c r="B256" i="4"/>
  <c r="G256" i="4" s="1"/>
  <c r="C256" i="4"/>
  <c r="J256" i="4" s="1"/>
  <c r="B257" i="4"/>
  <c r="G257" i="4" s="1"/>
  <c r="C257" i="4"/>
  <c r="J257" i="4" s="1"/>
  <c r="B258" i="4"/>
  <c r="G258" i="4" s="1"/>
  <c r="C258" i="4"/>
  <c r="J258" i="4" s="1"/>
  <c r="B259" i="4"/>
  <c r="G259" i="4" s="1"/>
  <c r="C259" i="4"/>
  <c r="J259" i="4" s="1"/>
  <c r="B260" i="4"/>
  <c r="G260" i="4" s="1"/>
  <c r="C260" i="4"/>
  <c r="J260" i="4" s="1"/>
  <c r="B261" i="4"/>
  <c r="G261" i="4" s="1"/>
  <c r="C261" i="4"/>
  <c r="J261" i="4" s="1"/>
  <c r="B262" i="4"/>
  <c r="G262" i="4" s="1"/>
  <c r="C262" i="4"/>
  <c r="J262" i="4" s="1"/>
  <c r="B263" i="4"/>
  <c r="G263" i="4" s="1"/>
  <c r="C263" i="4"/>
  <c r="J263" i="4" s="1"/>
  <c r="B264" i="4"/>
  <c r="G264" i="4" s="1"/>
  <c r="C264" i="4"/>
  <c r="J264" i="4" s="1"/>
  <c r="B265" i="4"/>
  <c r="G265" i="4" s="1"/>
  <c r="C265" i="4"/>
  <c r="J265" i="4" s="1"/>
  <c r="B266" i="4"/>
  <c r="G266" i="4" s="1"/>
  <c r="C266" i="4"/>
  <c r="J266" i="4" s="1"/>
  <c r="B267" i="4"/>
  <c r="G267" i="4" s="1"/>
  <c r="C267" i="4"/>
  <c r="J267" i="4" s="1"/>
  <c r="B268" i="4"/>
  <c r="G268" i="4" s="1"/>
  <c r="C268" i="4"/>
  <c r="J268" i="4" s="1"/>
  <c r="B269" i="4"/>
  <c r="G269" i="4" s="1"/>
  <c r="C269" i="4"/>
  <c r="J269" i="4" s="1"/>
  <c r="B270" i="4"/>
  <c r="G270" i="4" s="1"/>
  <c r="C270" i="4"/>
  <c r="J270" i="4" s="1"/>
  <c r="B271" i="4"/>
  <c r="G271" i="4" s="1"/>
  <c r="C271" i="4"/>
  <c r="J271" i="4" s="1"/>
  <c r="B272" i="4"/>
  <c r="G272" i="4" s="1"/>
  <c r="C272" i="4"/>
  <c r="J272" i="4" s="1"/>
  <c r="B273" i="4"/>
  <c r="G273" i="4" s="1"/>
  <c r="C273" i="4"/>
  <c r="J273" i="4" s="1"/>
  <c r="B274" i="4"/>
  <c r="G274" i="4" s="1"/>
  <c r="C274" i="4"/>
  <c r="J274" i="4" s="1"/>
  <c r="B275" i="4"/>
  <c r="G275" i="4" s="1"/>
  <c r="C275" i="4"/>
  <c r="J275" i="4" s="1"/>
  <c r="B276" i="4"/>
  <c r="G276" i="4" s="1"/>
  <c r="C276" i="4"/>
  <c r="J276" i="4" s="1"/>
  <c r="B277" i="4"/>
  <c r="G277" i="4" s="1"/>
  <c r="C277" i="4"/>
  <c r="J277" i="4" s="1"/>
  <c r="B278" i="4"/>
  <c r="G278" i="4" s="1"/>
  <c r="C278" i="4"/>
  <c r="J278" i="4" s="1"/>
  <c r="B279" i="4"/>
  <c r="G279" i="4" s="1"/>
  <c r="C279" i="4"/>
  <c r="J279" i="4" s="1"/>
  <c r="B280" i="4"/>
  <c r="G280" i="4" s="1"/>
  <c r="C280" i="4"/>
  <c r="J280" i="4" s="1"/>
  <c r="B281" i="4"/>
  <c r="G281" i="4" s="1"/>
  <c r="C281" i="4"/>
  <c r="J281" i="4" s="1"/>
  <c r="B282" i="4"/>
  <c r="G282" i="4" s="1"/>
  <c r="C282" i="4"/>
  <c r="J282" i="4" s="1"/>
  <c r="B283" i="4"/>
  <c r="G283" i="4" s="1"/>
  <c r="C283" i="4"/>
  <c r="J283" i="4" s="1"/>
  <c r="B284" i="4"/>
  <c r="G284" i="4" s="1"/>
  <c r="C284" i="4"/>
  <c r="J284" i="4" s="1"/>
  <c r="B285" i="4"/>
  <c r="G285" i="4" s="1"/>
  <c r="C285" i="4"/>
  <c r="J285" i="4" s="1"/>
  <c r="B286" i="4"/>
  <c r="G286" i="4" s="1"/>
  <c r="C286" i="4"/>
  <c r="J286" i="4" s="1"/>
  <c r="B287" i="4"/>
  <c r="G287" i="4" s="1"/>
  <c r="C287" i="4"/>
  <c r="J287" i="4" s="1"/>
  <c r="B288" i="4"/>
  <c r="G288" i="4" s="1"/>
  <c r="C288" i="4"/>
  <c r="J288" i="4" s="1"/>
  <c r="C289" i="4"/>
  <c r="J289" i="4" s="1"/>
  <c r="B290" i="4"/>
  <c r="G290" i="4" s="1"/>
  <c r="C290" i="4"/>
  <c r="J290" i="4" s="1"/>
  <c r="B291" i="4"/>
  <c r="G291" i="4" s="1"/>
  <c r="C291" i="4"/>
  <c r="J291" i="4" s="1"/>
  <c r="A534" i="1"/>
  <c r="A535" i="1"/>
  <c r="A536" i="1"/>
  <c r="A537" i="1"/>
  <c r="A538" i="1"/>
  <c r="A539" i="1"/>
  <c r="A218" i="4" s="1"/>
  <c r="F218" i="4" s="1"/>
  <c r="A540" i="1"/>
  <c r="A541" i="1"/>
  <c r="A542" i="1"/>
  <c r="A543" i="1"/>
  <c r="A544" i="1"/>
  <c r="A219" i="4" s="1"/>
  <c r="F219" i="4" s="1"/>
  <c r="A545" i="1"/>
  <c r="A546" i="1"/>
  <c r="A547" i="1"/>
  <c r="A548" i="1"/>
  <c r="A549" i="1"/>
  <c r="A550" i="1"/>
  <c r="A551" i="1"/>
  <c r="A552" i="1"/>
  <c r="A553" i="1"/>
  <c r="A220" i="4" s="1"/>
  <c r="F220" i="4" s="1"/>
  <c r="A554" i="1"/>
  <c r="A555" i="1"/>
  <c r="A221" i="4" s="1"/>
  <c r="F221" i="4" s="1"/>
  <c r="A556" i="1"/>
  <c r="A557" i="1"/>
  <c r="A222" i="4" s="1"/>
  <c r="F222" i="4" s="1"/>
  <c r="A558" i="1"/>
  <c r="A559" i="1"/>
  <c r="A560" i="1"/>
  <c r="A561" i="1"/>
  <c r="A562" i="1"/>
  <c r="A563" i="1"/>
  <c r="A564" i="1"/>
  <c r="A565" i="1"/>
  <c r="A223" i="4" s="1"/>
  <c r="F223" i="4" s="1"/>
  <c r="A566" i="1"/>
  <c r="A567" i="1"/>
  <c r="A568" i="1"/>
  <c r="S281" i="5" l="1"/>
  <c r="N281" i="5" s="1"/>
  <c r="M281" i="5" s="1"/>
  <c r="A14" i="29"/>
  <c r="A306" i="1"/>
  <c r="A134" i="4" s="1"/>
  <c r="F134" i="4" s="1"/>
  <c r="A16" i="29"/>
  <c r="A313" i="1"/>
  <c r="A135" i="4" s="1"/>
  <c r="F135" i="4" s="1"/>
  <c r="D3" i="5" l="1"/>
  <c r="D4" i="5"/>
  <c r="D5"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80" i="5"/>
  <c r="D282" i="5"/>
  <c r="D2" i="5"/>
  <c r="D1" i="5" l="1"/>
  <c r="E16" i="23" l="1"/>
  <c r="F16" i="23"/>
  <c r="G16" i="23"/>
  <c r="H16" i="23"/>
  <c r="I16" i="23"/>
  <c r="D16" i="23"/>
  <c r="D11" i="23"/>
  <c r="D9" i="23"/>
  <c r="D5" i="23"/>
  <c r="D4" i="23"/>
  <c r="E18" i="24"/>
  <c r="F18" i="24"/>
  <c r="G18" i="24"/>
  <c r="H18" i="24"/>
  <c r="I18" i="24"/>
  <c r="J18" i="24"/>
  <c r="D18" i="24"/>
  <c r="M59" i="5"/>
  <c r="M58" i="5"/>
  <c r="E16" i="24"/>
  <c r="F16" i="24"/>
  <c r="G16" i="24"/>
  <c r="H16" i="24"/>
  <c r="I16" i="24"/>
  <c r="D16" i="24"/>
  <c r="D11" i="24"/>
  <c r="D9" i="24"/>
  <c r="Q136" i="5" l="1"/>
  <c r="R136" i="5"/>
  <c r="Q246" i="5"/>
  <c r="R246" i="5"/>
  <c r="Q245" i="5"/>
  <c r="R245" i="5"/>
  <c r="Q244" i="5"/>
  <c r="R244" i="5"/>
  <c r="Q107" i="5"/>
  <c r="R107" i="5"/>
  <c r="Q11" i="5"/>
  <c r="R11" i="5"/>
  <c r="Q241" i="5"/>
  <c r="R241" i="5"/>
  <c r="Q240" i="5"/>
  <c r="R240" i="5"/>
  <c r="Q239" i="5"/>
  <c r="R239" i="5"/>
  <c r="Q37" i="5"/>
  <c r="R37" i="5"/>
  <c r="Q267" i="5"/>
  <c r="R267" i="5"/>
  <c r="Q56" i="5"/>
  <c r="R56" i="5"/>
  <c r="Q6" i="5"/>
  <c r="R6" i="5"/>
  <c r="S240" i="5" l="1"/>
  <c r="N240" i="5" s="1"/>
  <c r="M240" i="5" s="1"/>
  <c r="S244" i="5"/>
  <c r="N244" i="5" s="1"/>
  <c r="M244" i="5" s="1"/>
  <c r="S11" i="5"/>
  <c r="N11" i="5" s="1"/>
  <c r="M11" i="5" s="1"/>
  <c r="S246" i="5"/>
  <c r="N246" i="5" s="1"/>
  <c r="M246" i="5" s="1"/>
  <c r="S267" i="5"/>
  <c r="N267" i="5" s="1"/>
  <c r="M267" i="5" s="1"/>
  <c r="S241" i="5"/>
  <c r="N241" i="5" s="1"/>
  <c r="M241" i="5" s="1"/>
  <c r="S107" i="5"/>
  <c r="N107" i="5" s="1"/>
  <c r="M107" i="5" s="1"/>
  <c r="S245" i="5"/>
  <c r="N245" i="5" s="1"/>
  <c r="M245" i="5" s="1"/>
  <c r="S136" i="5"/>
  <c r="N136" i="5" s="1"/>
  <c r="M136" i="5" s="1"/>
  <c r="S56" i="5"/>
  <c r="N56" i="5" s="1"/>
  <c r="M56" i="5" s="1"/>
  <c r="J16" i="24" s="1"/>
  <c r="S37" i="5"/>
  <c r="N37" i="5" s="1"/>
  <c r="M37" i="5" s="1"/>
  <c r="S6" i="5"/>
  <c r="N6" i="5" s="1"/>
  <c r="M6" i="5" s="1"/>
  <c r="S239" i="5"/>
  <c r="N239" i="5" s="1"/>
  <c r="M239" i="5" s="1"/>
  <c r="A434" i="1"/>
  <c r="A436" i="1"/>
  <c r="A176" i="4" s="1"/>
  <c r="F176" i="4" s="1"/>
  <c r="A438" i="1"/>
  <c r="A440" i="1"/>
  <c r="A178" i="4" s="1"/>
  <c r="F178" i="4" s="1"/>
  <c r="A177" i="4" l="1"/>
  <c r="F177" i="4" s="1"/>
  <c r="A175" i="4"/>
  <c r="F175" i="4" s="1"/>
  <c r="A426" i="1"/>
  <c r="A171" i="4" s="1"/>
  <c r="F171" i="4" s="1"/>
  <c r="A430" i="1"/>
  <c r="A173" i="4" s="1"/>
  <c r="F173" i="4" s="1"/>
  <c r="A428" i="1"/>
  <c r="A172" i="4" s="1"/>
  <c r="F172" i="4" s="1"/>
  <c r="A432" i="1"/>
  <c r="A174" i="4" s="1"/>
  <c r="F174" i="4" s="1"/>
  <c r="A442" i="1"/>
  <c r="A444" i="1"/>
  <c r="A180" i="4" s="1"/>
  <c r="F180" i="4" s="1"/>
  <c r="A321" i="1"/>
  <c r="A322" i="1"/>
  <c r="A138" i="4" l="1"/>
  <c r="F138" i="4" s="1"/>
  <c r="A179" i="4"/>
  <c r="F179" i="4" s="1"/>
  <c r="R16" i="24"/>
  <c r="T13" i="24"/>
  <c r="S13" i="24"/>
  <c r="R13" i="24"/>
  <c r="Q13" i="24"/>
  <c r="P13" i="24"/>
  <c r="O13" i="24"/>
  <c r="N13" i="24"/>
  <c r="K13" i="24"/>
  <c r="M13" i="24" s="1"/>
  <c r="N6" i="24"/>
  <c r="O6" i="24"/>
  <c r="P6" i="24"/>
  <c r="Q6" i="24"/>
  <c r="R6" i="24"/>
  <c r="S6" i="24"/>
  <c r="T6" i="24"/>
  <c r="K6" i="24"/>
  <c r="M6" i="24" s="1"/>
  <c r="K2" i="24"/>
  <c r="A2" i="29" l="1"/>
  <c r="A4" i="29"/>
  <c r="A8" i="29"/>
  <c r="A10" i="29"/>
  <c r="A12" i="29"/>
  <c r="A18" i="29"/>
  <c r="A20" i="29"/>
  <c r="A22" i="29"/>
  <c r="A24" i="29"/>
  <c r="A26" i="29"/>
  <c r="A28" i="29"/>
  <c r="A30" i="29"/>
  <c r="A32" i="29"/>
  <c r="A34" i="29"/>
  <c r="D70" i="23"/>
  <c r="D71" i="23"/>
  <c r="H70" i="23"/>
  <c r="H71" i="23"/>
  <c r="C70" i="23"/>
  <c r="C71" i="23"/>
  <c r="F70" i="23"/>
  <c r="F73" i="23" s="1"/>
  <c r="F71" i="23"/>
  <c r="E70" i="23"/>
  <c r="E71" i="23"/>
  <c r="M13" i="23"/>
  <c r="N16" i="23"/>
  <c r="N50" i="23" s="1"/>
  <c r="O16" i="23"/>
  <c r="O50" i="23" s="1"/>
  <c r="P16" i="23"/>
  <c r="P50" i="23" s="1"/>
  <c r="Q16" i="23"/>
  <c r="Q50" i="23" s="1"/>
  <c r="R16" i="23"/>
  <c r="R50" i="23" s="1"/>
  <c r="S16" i="23"/>
  <c r="S50" i="23" s="1"/>
  <c r="O18" i="23"/>
  <c r="P18" i="23"/>
  <c r="Q18" i="23"/>
  <c r="R18" i="23"/>
  <c r="S18" i="23"/>
  <c r="N19" i="23"/>
  <c r="O19" i="23"/>
  <c r="P19" i="23"/>
  <c r="Q19" i="23"/>
  <c r="R19" i="23"/>
  <c r="S19" i="23"/>
  <c r="L22" i="23"/>
  <c r="L23" i="23"/>
  <c r="Q23" i="23" s="1"/>
  <c r="L24" i="23"/>
  <c r="L25" i="23"/>
  <c r="L26" i="23"/>
  <c r="N27" i="23"/>
  <c r="O27" i="23"/>
  <c r="L27" i="23"/>
  <c r="L28" i="23"/>
  <c r="S28" i="23" s="1"/>
  <c r="L29" i="23"/>
  <c r="P29" i="23" s="1"/>
  <c r="L30" i="23"/>
  <c r="L31" i="23"/>
  <c r="L32" i="23"/>
  <c r="L33" i="23"/>
  <c r="L34" i="23"/>
  <c r="N35" i="23"/>
  <c r="R35" i="23"/>
  <c r="L35" i="23"/>
  <c r="O35" i="23" s="1"/>
  <c r="L36" i="23"/>
  <c r="L37" i="23"/>
  <c r="N37" i="23" s="1"/>
  <c r="L38" i="23"/>
  <c r="N38" i="23" s="1"/>
  <c r="L39" i="23"/>
  <c r="O40" i="23"/>
  <c r="L40" i="23"/>
  <c r="P40" i="23" s="1"/>
  <c r="L41" i="23"/>
  <c r="S41" i="23" s="1"/>
  <c r="N42" i="23"/>
  <c r="O42" i="23"/>
  <c r="Q42" i="23"/>
  <c r="R42" i="23"/>
  <c r="S42" i="23"/>
  <c r="M43" i="23"/>
  <c r="D67" i="23"/>
  <c r="E67" i="23"/>
  <c r="B67" i="23"/>
  <c r="C67" i="23"/>
  <c r="K6" i="23"/>
  <c r="M6" i="23" s="1"/>
  <c r="N43" i="23"/>
  <c r="O43" i="23"/>
  <c r="P43" i="23"/>
  <c r="Q43" i="23"/>
  <c r="R43" i="23"/>
  <c r="S43" i="23"/>
  <c r="N6" i="23"/>
  <c r="N13" i="23"/>
  <c r="C104" i="23"/>
  <c r="O6" i="23"/>
  <c r="P6" i="23"/>
  <c r="Q6" i="23"/>
  <c r="R6" i="23"/>
  <c r="S6" i="23"/>
  <c r="AC55" i="23"/>
  <c r="AB55" i="23"/>
  <c r="AC54" i="23"/>
  <c r="AB54" i="23"/>
  <c r="AB50" i="23"/>
  <c r="AB51" i="23"/>
  <c r="AB52" i="23"/>
  <c r="AB53" i="23"/>
  <c r="AB49" i="23"/>
  <c r="AC50" i="23"/>
  <c r="AC51" i="23"/>
  <c r="AC52" i="23"/>
  <c r="AC53" i="23"/>
  <c r="AC49" i="23"/>
  <c r="O13" i="23"/>
  <c r="Q13" i="23"/>
  <c r="P13" i="23"/>
  <c r="S13" i="23"/>
  <c r="R13" i="23"/>
  <c r="R152" i="5"/>
  <c r="Q152" i="5"/>
  <c r="R145" i="5"/>
  <c r="Q145" i="5"/>
  <c r="R155" i="5"/>
  <c r="Q155" i="5"/>
  <c r="R157" i="5"/>
  <c r="Q157" i="5"/>
  <c r="R179" i="5"/>
  <c r="Q179" i="5"/>
  <c r="R117" i="5"/>
  <c r="Q117" i="5"/>
  <c r="R163" i="5"/>
  <c r="Q163" i="5"/>
  <c r="R169" i="5"/>
  <c r="Q169" i="5"/>
  <c r="R174" i="5"/>
  <c r="Q174" i="5"/>
  <c r="R172" i="5"/>
  <c r="Q172" i="5"/>
  <c r="R177" i="5"/>
  <c r="Q177" i="5"/>
  <c r="R150" i="5"/>
  <c r="Q150" i="5"/>
  <c r="R181" i="5"/>
  <c r="Q181" i="5"/>
  <c r="R160" i="5"/>
  <c r="Q160" i="5"/>
  <c r="R147" i="5"/>
  <c r="Q147" i="5"/>
  <c r="R183" i="5"/>
  <c r="Q183" i="5"/>
  <c r="R185" i="5"/>
  <c r="Q185" i="5"/>
  <c r="R191" i="5"/>
  <c r="Q191" i="5"/>
  <c r="R187" i="5"/>
  <c r="Q187" i="5"/>
  <c r="R189" i="5"/>
  <c r="Q189" i="5"/>
  <c r="R114" i="5"/>
  <c r="Q114" i="5"/>
  <c r="N54" i="5"/>
  <c r="M54" i="5" s="1"/>
  <c r="J16" i="23" s="1"/>
  <c r="R52" i="5"/>
  <c r="Q52" i="5"/>
  <c r="R280" i="5"/>
  <c r="Q280" i="5"/>
  <c r="R69" i="5"/>
  <c r="Q69" i="5"/>
  <c r="R123" i="5"/>
  <c r="Q123" i="5"/>
  <c r="R73" i="5"/>
  <c r="Q73" i="5"/>
  <c r="R91" i="5"/>
  <c r="Q91" i="5"/>
  <c r="R74" i="5"/>
  <c r="Q74" i="5"/>
  <c r="R81" i="5"/>
  <c r="Q81" i="5"/>
  <c r="N16" i="24"/>
  <c r="N47" i="24" s="1"/>
  <c r="O16" i="24"/>
  <c r="O47" i="24" s="1"/>
  <c r="P16" i="24"/>
  <c r="P47" i="24" s="1"/>
  <c r="Q16" i="24"/>
  <c r="Q47" i="24" s="1"/>
  <c r="S16" i="24"/>
  <c r="S47" i="24" s="1"/>
  <c r="R120" i="5"/>
  <c r="Q120" i="5"/>
  <c r="R274" i="5"/>
  <c r="Q274" i="5"/>
  <c r="R48" i="5"/>
  <c r="Q48" i="5"/>
  <c r="A6" i="1"/>
  <c r="A2" i="4" s="1"/>
  <c r="F2" i="4" s="1"/>
  <c r="A8" i="1"/>
  <c r="A10" i="1"/>
  <c r="A4" i="4" s="1"/>
  <c r="F4" i="4" s="1"/>
  <c r="A12" i="1"/>
  <c r="A13" i="1"/>
  <c r="A6" i="4" s="1"/>
  <c r="F6" i="4" s="1"/>
  <c r="A15" i="1"/>
  <c r="A17" i="1"/>
  <c r="A8" i="4" s="1"/>
  <c r="F8" i="4" s="1"/>
  <c r="A19" i="1"/>
  <c r="A21" i="1"/>
  <c r="A23" i="1"/>
  <c r="A11" i="4" s="1"/>
  <c r="F11" i="4" s="1"/>
  <c r="A25" i="1"/>
  <c r="A27" i="1"/>
  <c r="A13" i="4" s="1"/>
  <c r="F13" i="4" s="1"/>
  <c r="A29" i="1"/>
  <c r="A32" i="1"/>
  <c r="A15" i="4" s="1"/>
  <c r="F15" i="4" s="1"/>
  <c r="A34" i="1"/>
  <c r="A37" i="1"/>
  <c r="A17" i="4" s="1"/>
  <c r="F17" i="4" s="1"/>
  <c r="A38" i="1"/>
  <c r="A41" i="1"/>
  <c r="A19" i="4" s="1"/>
  <c r="F19" i="4" s="1"/>
  <c r="A44" i="1"/>
  <c r="A46" i="1"/>
  <c r="A21" i="4" s="1"/>
  <c r="F21" i="4" s="1"/>
  <c r="A49" i="1"/>
  <c r="A51" i="1"/>
  <c r="A23" i="4" s="1"/>
  <c r="F23" i="4" s="1"/>
  <c r="A53" i="1"/>
  <c r="A58" i="1"/>
  <c r="A25" i="4" s="1"/>
  <c r="F25" i="4" s="1"/>
  <c r="A61" i="1"/>
  <c r="A64" i="1"/>
  <c r="A27" i="4" s="1"/>
  <c r="F27" i="4" s="1"/>
  <c r="A66" i="1"/>
  <c r="A28" i="4" s="1"/>
  <c r="F28" i="4" s="1"/>
  <c r="A68" i="1"/>
  <c r="A70" i="1"/>
  <c r="A30" i="4" s="1"/>
  <c r="F30" i="4" s="1"/>
  <c r="A72" i="1"/>
  <c r="A74" i="1"/>
  <c r="A32" i="4" s="1"/>
  <c r="F32" i="4" s="1"/>
  <c r="A77" i="1"/>
  <c r="A33" i="4" s="1"/>
  <c r="F33" i="4" s="1"/>
  <c r="A79" i="1"/>
  <c r="A81" i="1"/>
  <c r="A83" i="1"/>
  <c r="A36" i="4" s="1"/>
  <c r="F36" i="4" s="1"/>
  <c r="A85" i="1"/>
  <c r="A37" i="4" s="1"/>
  <c r="F37" i="4" s="1"/>
  <c r="A87" i="1"/>
  <c r="A89" i="1"/>
  <c r="A39" i="4" s="1"/>
  <c r="F39" i="4" s="1"/>
  <c r="A91" i="1"/>
  <c r="A40" i="4" s="1"/>
  <c r="F40" i="4" s="1"/>
  <c r="A94" i="1"/>
  <c r="A96" i="1"/>
  <c r="A42" i="4" s="1"/>
  <c r="F42" i="4" s="1"/>
  <c r="A97" i="1"/>
  <c r="A99" i="1"/>
  <c r="A44" i="4" s="1"/>
  <c r="F44" i="4" s="1"/>
  <c r="A100" i="1"/>
  <c r="A45" i="4" s="1"/>
  <c r="F45" i="4" s="1"/>
  <c r="A102" i="1"/>
  <c r="A104" i="1"/>
  <c r="A47" i="4" s="1"/>
  <c r="F47" i="4" s="1"/>
  <c r="A107" i="1"/>
  <c r="A110" i="1"/>
  <c r="A49" i="4" s="1"/>
  <c r="F49" i="4" s="1"/>
  <c r="A112" i="1"/>
  <c r="A114" i="1"/>
  <c r="A51" i="4" s="1"/>
  <c r="F51" i="4" s="1"/>
  <c r="A116" i="1"/>
  <c r="A52" i="4" s="1"/>
  <c r="F52" i="4" s="1"/>
  <c r="A118" i="1"/>
  <c r="A53" i="4" s="1"/>
  <c r="F53" i="4" s="1"/>
  <c r="A120" i="1"/>
  <c r="A54" i="4" s="1"/>
  <c r="F54" i="4" s="1"/>
  <c r="A122" i="1"/>
  <c r="A124" i="1"/>
  <c r="A56" i="4" s="1"/>
  <c r="F56" i="4" s="1"/>
  <c r="A126" i="1"/>
  <c r="A57" i="4" s="1"/>
  <c r="F57" i="4" s="1"/>
  <c r="A128" i="1"/>
  <c r="A130" i="1"/>
  <c r="A59" i="4" s="1"/>
  <c r="F59" i="4" s="1"/>
  <c r="A132" i="1"/>
  <c r="A60" i="4" s="1"/>
  <c r="F60" i="4" s="1"/>
  <c r="A134" i="1"/>
  <c r="A136" i="1"/>
  <c r="A62" i="4" s="1"/>
  <c r="F62" i="4" s="1"/>
  <c r="A138" i="1"/>
  <c r="A140" i="1"/>
  <c r="A64" i="4" s="1"/>
  <c r="F64" i="4" s="1"/>
  <c r="A142" i="1"/>
  <c r="A144" i="1"/>
  <c r="A66" i="4" s="1"/>
  <c r="F66" i="4" s="1"/>
  <c r="A146" i="1"/>
  <c r="A148" i="1"/>
  <c r="A68" i="4" s="1"/>
  <c r="F68" i="4" s="1"/>
  <c r="A150" i="1"/>
  <c r="A153" i="1"/>
  <c r="A70" i="4" s="1"/>
  <c r="F70" i="4" s="1"/>
  <c r="A156" i="1"/>
  <c r="A159" i="1"/>
  <c r="A72" i="4" s="1"/>
  <c r="F72" i="4" s="1"/>
  <c r="A160" i="1"/>
  <c r="A73" i="4" s="1"/>
  <c r="F73" i="4" s="1"/>
  <c r="A162" i="1"/>
  <c r="A164" i="1"/>
  <c r="A75" i="4" s="1"/>
  <c r="F75" i="4" s="1"/>
  <c r="A167" i="1"/>
  <c r="A170" i="1"/>
  <c r="A77" i="4" s="1"/>
  <c r="F77" i="4" s="1"/>
  <c r="A173" i="1"/>
  <c r="A179" i="1"/>
  <c r="A79" i="4" s="1"/>
  <c r="F79" i="4" s="1"/>
  <c r="A181" i="1"/>
  <c r="A183" i="1"/>
  <c r="A81" i="4" s="1"/>
  <c r="F81" i="4" s="1"/>
  <c r="A185" i="1"/>
  <c r="A187" i="1"/>
  <c r="A83" i="4" s="1"/>
  <c r="F83" i="4" s="1"/>
  <c r="A190" i="1"/>
  <c r="A192" i="1"/>
  <c r="A85" i="4" s="1"/>
  <c r="F85" i="4" s="1"/>
  <c r="A194" i="1"/>
  <c r="A196" i="1"/>
  <c r="A87" i="4" s="1"/>
  <c r="F87" i="4" s="1"/>
  <c r="A198" i="1"/>
  <c r="A200" i="1"/>
  <c r="A89" i="4" s="1"/>
  <c r="F89" i="4" s="1"/>
  <c r="A203" i="1"/>
  <c r="A90" i="4" s="1"/>
  <c r="F90" i="4" s="1"/>
  <c r="A205" i="1"/>
  <c r="A207" i="1"/>
  <c r="A92" i="4" s="1"/>
  <c r="F92" i="4" s="1"/>
  <c r="A209" i="1"/>
  <c r="A211" i="1"/>
  <c r="A213" i="1"/>
  <c r="A95" i="4" s="1"/>
  <c r="F95" i="4" s="1"/>
  <c r="A215" i="1"/>
  <c r="A217" i="1"/>
  <c r="A219" i="1"/>
  <c r="A98" i="4" s="1"/>
  <c r="F98" i="4" s="1"/>
  <c r="A221" i="1"/>
  <c r="A223" i="1"/>
  <c r="A100" i="4" s="1"/>
  <c r="F100" i="4" s="1"/>
  <c r="A225" i="1"/>
  <c r="A227" i="1"/>
  <c r="A102" i="4" s="1"/>
  <c r="F102" i="4" s="1"/>
  <c r="A229" i="1"/>
  <c r="A103" i="4" s="1"/>
  <c r="F103" i="4" s="1"/>
  <c r="A231" i="1"/>
  <c r="A233" i="1"/>
  <c r="A105" i="4" s="1"/>
  <c r="F105" i="4" s="1"/>
  <c r="A235" i="1"/>
  <c r="A238" i="1"/>
  <c r="A107" i="4" s="1"/>
  <c r="F107" i="4" s="1"/>
  <c r="A240" i="1"/>
  <c r="A242" i="1"/>
  <c r="A109" i="4" s="1"/>
  <c r="F109" i="4" s="1"/>
  <c r="A245" i="1"/>
  <c r="A247" i="1"/>
  <c r="A111" i="4" s="1"/>
  <c r="F111" i="4" s="1"/>
  <c r="A250" i="1"/>
  <c r="A254" i="1"/>
  <c r="A113" i="4" s="1"/>
  <c r="F113" i="4" s="1"/>
  <c r="A256" i="1"/>
  <c r="A258" i="1"/>
  <c r="A115" i="4" s="1"/>
  <c r="F115" i="4" s="1"/>
  <c r="A262" i="1"/>
  <c r="A266" i="1"/>
  <c r="A117" i="4" s="1"/>
  <c r="F117" i="4" s="1"/>
  <c r="A268" i="1"/>
  <c r="A270" i="1"/>
  <c r="A119" i="4" s="1"/>
  <c r="F119" i="4" s="1"/>
  <c r="A274" i="1"/>
  <c r="A277" i="1"/>
  <c r="A121" i="4" s="1"/>
  <c r="F121" i="4" s="1"/>
  <c r="A278" i="1"/>
  <c r="A280" i="1"/>
  <c r="A123" i="4" s="1"/>
  <c r="F123" i="4" s="1"/>
  <c r="A282" i="1"/>
  <c r="A284" i="1"/>
  <c r="A125" i="4" s="1"/>
  <c r="F125" i="4" s="1"/>
  <c r="A288" i="1"/>
  <c r="A290" i="1"/>
  <c r="A127" i="4" s="1"/>
  <c r="F127" i="4" s="1"/>
  <c r="A294" i="1"/>
  <c r="A296" i="1"/>
  <c r="A129" i="4" s="1"/>
  <c r="F129" i="4" s="1"/>
  <c r="A298" i="1"/>
  <c r="A300" i="1"/>
  <c r="A131" i="4" s="1"/>
  <c r="F131" i="4" s="1"/>
  <c r="A302" i="1"/>
  <c r="A304" i="1"/>
  <c r="A133" i="4" s="1"/>
  <c r="F133" i="4" s="1"/>
  <c r="A315" i="1"/>
  <c r="A320" i="1"/>
  <c r="A137" i="4" s="1"/>
  <c r="F137" i="4" s="1"/>
  <c r="A329" i="1"/>
  <c r="A139" i="4" s="1"/>
  <c r="F139" i="4" s="1"/>
  <c r="A336" i="1"/>
  <c r="A342" i="1"/>
  <c r="A141" i="4" s="1"/>
  <c r="F141" i="4" s="1"/>
  <c r="A347" i="1"/>
  <c r="A349" i="1"/>
  <c r="A143" i="4" s="1"/>
  <c r="F143" i="4" s="1"/>
  <c r="A351" i="1"/>
  <c r="A353" i="1"/>
  <c r="A145" i="4" s="1"/>
  <c r="F145" i="4" s="1"/>
  <c r="A355" i="1"/>
  <c r="A357" i="1"/>
  <c r="A147" i="4" s="1"/>
  <c r="F147" i="4" s="1"/>
  <c r="A371" i="1"/>
  <c r="A148" i="4" s="1"/>
  <c r="F148" i="4" s="1"/>
  <c r="A381" i="1"/>
  <c r="A383" i="1"/>
  <c r="A150" i="4" s="1"/>
  <c r="F150" i="4" s="1"/>
  <c r="A385" i="1"/>
  <c r="A151" i="4" s="1"/>
  <c r="F151" i="4" s="1"/>
  <c r="A387" i="1"/>
  <c r="A389" i="1"/>
  <c r="A153" i="4" s="1"/>
  <c r="F153" i="4" s="1"/>
  <c r="A391" i="1"/>
  <c r="A154" i="4" s="1"/>
  <c r="F154" i="4" s="1"/>
  <c r="A393" i="1"/>
  <c r="A155" i="4" s="1"/>
  <c r="F155" i="4" s="1"/>
  <c r="A396" i="1"/>
  <c r="A398" i="1"/>
  <c r="A157" i="4" s="1"/>
  <c r="F157" i="4" s="1"/>
  <c r="A400" i="1"/>
  <c r="A402" i="1"/>
  <c r="A159" i="4" s="1"/>
  <c r="F159" i="4" s="1"/>
  <c r="A404" i="1"/>
  <c r="A406" i="1"/>
  <c r="A161" i="4" s="1"/>
  <c r="F161" i="4" s="1"/>
  <c r="A408" i="1"/>
  <c r="A162" i="4" s="1"/>
  <c r="F162" i="4" s="1"/>
  <c r="A410" i="1"/>
  <c r="A412" i="1"/>
  <c r="A164" i="4" s="1"/>
  <c r="F164" i="4" s="1"/>
  <c r="A414" i="1"/>
  <c r="A165" i="4" s="1"/>
  <c r="F165" i="4" s="1"/>
  <c r="A416" i="1"/>
  <c r="A418" i="1"/>
  <c r="A167" i="4" s="1"/>
  <c r="F167" i="4" s="1"/>
  <c r="A420" i="1"/>
  <c r="A168" i="4" s="1"/>
  <c r="F168" i="4" s="1"/>
  <c r="A422" i="1"/>
  <c r="A424" i="1"/>
  <c r="A170" i="4" s="1"/>
  <c r="F170" i="4" s="1"/>
  <c r="A450" i="1"/>
  <c r="A457" i="1"/>
  <c r="A182" i="4" s="1"/>
  <c r="F182" i="4" s="1"/>
  <c r="A460" i="1"/>
  <c r="A463" i="1"/>
  <c r="A184" i="4" s="1"/>
  <c r="F184" i="4" s="1"/>
  <c r="A465" i="1"/>
  <c r="A185" i="4" s="1"/>
  <c r="F185" i="4" s="1"/>
  <c r="A467" i="1"/>
  <c r="A469" i="1"/>
  <c r="A187" i="4" s="1"/>
  <c r="F187" i="4" s="1"/>
  <c r="A471" i="1"/>
  <c r="A473" i="1"/>
  <c r="A189" i="4" s="1"/>
  <c r="F189" i="4" s="1"/>
  <c r="A475" i="1"/>
  <c r="A477" i="1"/>
  <c r="A191" i="4" s="1"/>
  <c r="F191" i="4" s="1"/>
  <c r="A479" i="1"/>
  <c r="A481" i="1"/>
  <c r="A193" i="4" s="1"/>
  <c r="F193" i="4" s="1"/>
  <c r="A483" i="1"/>
  <c r="A485" i="1"/>
  <c r="A195" i="4" s="1"/>
  <c r="F195" i="4" s="1"/>
  <c r="A487" i="1"/>
  <c r="A489" i="1"/>
  <c r="A197" i="4" s="1"/>
  <c r="F197" i="4" s="1"/>
  <c r="A491" i="1"/>
  <c r="A198" i="4" s="1"/>
  <c r="F198" i="4" s="1"/>
  <c r="A493" i="1"/>
  <c r="A496" i="1"/>
  <c r="A200" i="4" s="1"/>
  <c r="F200" i="4" s="1"/>
  <c r="A499" i="1"/>
  <c r="A501" i="1"/>
  <c r="A202" i="4" s="1"/>
  <c r="F202" i="4" s="1"/>
  <c r="A504" i="1"/>
  <c r="A506" i="1"/>
  <c r="A204" i="4" s="1"/>
  <c r="F204" i="4" s="1"/>
  <c r="A508" i="1"/>
  <c r="A510" i="1"/>
  <c r="A206" i="4" s="1"/>
  <c r="F206" i="4" s="1"/>
  <c r="A512" i="1"/>
  <c r="A514" i="1"/>
  <c r="A208" i="4" s="1"/>
  <c r="F208" i="4" s="1"/>
  <c r="A517" i="1"/>
  <c r="A519" i="1"/>
  <c r="A210" i="4" s="1"/>
  <c r="F210" i="4" s="1"/>
  <c r="A521" i="1"/>
  <c r="A523" i="1"/>
  <c r="A212" i="4" s="1"/>
  <c r="F212" i="4" s="1"/>
  <c r="A525" i="1"/>
  <c r="A527" i="1"/>
  <c r="A214" i="4" s="1"/>
  <c r="F214" i="4" s="1"/>
  <c r="A529" i="1"/>
  <c r="A531" i="1"/>
  <c r="A216" i="4" s="1"/>
  <c r="F216" i="4" s="1"/>
  <c r="A533" i="1"/>
  <c r="A569" i="1"/>
  <c r="A571" i="1"/>
  <c r="A225" i="4" s="1"/>
  <c r="F225" i="4" s="1"/>
  <c r="A575" i="1"/>
  <c r="A227" i="4" s="1"/>
  <c r="F227" i="4" s="1"/>
  <c r="A577" i="1"/>
  <c r="A580" i="1"/>
  <c r="A229" i="4" s="1"/>
  <c r="F229" i="4" s="1"/>
  <c r="A591" i="1"/>
  <c r="A593" i="1"/>
  <c r="A231" i="4" s="1"/>
  <c r="F231" i="4" s="1"/>
  <c r="A595" i="1"/>
  <c r="A598" i="1"/>
  <c r="A233" i="4" s="1"/>
  <c r="F233" i="4" s="1"/>
  <c r="A608" i="1"/>
  <c r="A234" i="4" s="1"/>
  <c r="F234" i="4" s="1"/>
  <c r="A610" i="1"/>
  <c r="A235" i="4" s="1"/>
  <c r="F235" i="4" s="1"/>
  <c r="A612" i="1"/>
  <c r="A236" i="4" s="1"/>
  <c r="F236" i="4" s="1"/>
  <c r="A614" i="1"/>
  <c r="A237" i="4" s="1"/>
  <c r="F237" i="4" s="1"/>
  <c r="A616" i="1"/>
  <c r="A238" i="4" s="1"/>
  <c r="F238" i="4" s="1"/>
  <c r="A618" i="1"/>
  <c r="A620" i="1"/>
  <c r="A240" i="4" s="1"/>
  <c r="F240" i="4" s="1"/>
  <c r="A622" i="1"/>
  <c r="A624" i="1"/>
  <c r="A242" i="4" s="1"/>
  <c r="F242" i="4" s="1"/>
  <c r="A626" i="1"/>
  <c r="A243" i="4" s="1"/>
  <c r="F243" i="4" s="1"/>
  <c r="A628" i="1"/>
  <c r="A630" i="1"/>
  <c r="A245" i="4" s="1"/>
  <c r="F245" i="4" s="1"/>
  <c r="A632" i="1"/>
  <c r="A634" i="1"/>
  <c r="A247" i="4" s="1"/>
  <c r="F247" i="4" s="1"/>
  <c r="A635" i="1"/>
  <c r="A248" i="4" s="1"/>
  <c r="F248" i="4" s="1"/>
  <c r="A636" i="1"/>
  <c r="A637" i="1"/>
  <c r="A250" i="4" s="1"/>
  <c r="F250" i="4" s="1"/>
  <c r="A639" i="1"/>
  <c r="A251" i="4" s="1"/>
  <c r="F251" i="4" s="1"/>
  <c r="A640" i="1"/>
  <c r="A252" i="4" s="1"/>
  <c r="F252" i="4" s="1"/>
  <c r="A641" i="1"/>
  <c r="A642" i="1"/>
  <c r="A254" i="4" s="1"/>
  <c r="F254" i="4" s="1"/>
  <c r="A645" i="1"/>
  <c r="A647" i="1"/>
  <c r="A256" i="4" s="1"/>
  <c r="F256" i="4" s="1"/>
  <c r="A649" i="1"/>
  <c r="A651" i="1"/>
  <c r="A258" i="4" s="1"/>
  <c r="F258" i="4" s="1"/>
  <c r="A653" i="1"/>
  <c r="A259" i="4" s="1"/>
  <c r="F259" i="4" s="1"/>
  <c r="A655" i="1"/>
  <c r="A260" i="4" s="1"/>
  <c r="F260" i="4" s="1"/>
  <c r="A656" i="1"/>
  <c r="A657" i="1"/>
  <c r="A262" i="4" s="1"/>
  <c r="F262" i="4" s="1"/>
  <c r="A658" i="1"/>
  <c r="A263" i="4" s="1"/>
  <c r="F263" i="4" s="1"/>
  <c r="A659" i="1"/>
  <c r="A264" i="4" s="1"/>
  <c r="F264" i="4" s="1"/>
  <c r="A660" i="1"/>
  <c r="A661" i="1"/>
  <c r="A266" i="4" s="1"/>
  <c r="F266" i="4" s="1"/>
  <c r="A662" i="1"/>
  <c r="A663" i="1"/>
  <c r="A268" i="4" s="1"/>
  <c r="F268" i="4" s="1"/>
  <c r="A664" i="1"/>
  <c r="A665" i="1"/>
  <c r="A270" i="4" s="1"/>
  <c r="F270" i="4" s="1"/>
  <c r="A666" i="1"/>
  <c r="A271" i="4" s="1"/>
  <c r="F271" i="4" s="1"/>
  <c r="A667" i="1"/>
  <c r="A272" i="4" s="1"/>
  <c r="F272" i="4" s="1"/>
  <c r="A668" i="1"/>
  <c r="A669" i="1"/>
  <c r="A274" i="4" s="1"/>
  <c r="F274" i="4" s="1"/>
  <c r="A670" i="1"/>
  <c r="A275" i="4" s="1"/>
  <c r="F275" i="4" s="1"/>
  <c r="A671" i="1"/>
  <c r="A672" i="1"/>
  <c r="A673" i="1"/>
  <c r="A278" i="4" s="1"/>
  <c r="F278" i="4" s="1"/>
  <c r="A674" i="1"/>
  <c r="A675" i="1"/>
  <c r="A280" i="4" s="1"/>
  <c r="F280" i="4" s="1"/>
  <c r="A677" i="1"/>
  <c r="A678" i="1"/>
  <c r="A282" i="4" s="1"/>
  <c r="F282" i="4" s="1"/>
  <c r="A679" i="1"/>
  <c r="A680" i="1"/>
  <c r="A284" i="4" s="1"/>
  <c r="F284" i="4" s="1"/>
  <c r="A681" i="1"/>
  <c r="A285" i="4" s="1"/>
  <c r="F285" i="4" s="1"/>
  <c r="A683" i="1"/>
  <c r="A286" i="4" s="1"/>
  <c r="F286" i="4" s="1"/>
  <c r="A685" i="1"/>
  <c r="A687" i="1"/>
  <c r="A288" i="4" s="1"/>
  <c r="F288" i="4" s="1"/>
  <c r="A689" i="1"/>
  <c r="A289" i="4" s="1"/>
  <c r="F289" i="4" s="1"/>
  <c r="A691" i="1"/>
  <c r="A290" i="4" s="1"/>
  <c r="F290" i="4" s="1"/>
  <c r="A693" i="1"/>
  <c r="A291" i="4" s="1"/>
  <c r="F291" i="4" s="1"/>
  <c r="R104" i="5"/>
  <c r="Q104" i="5"/>
  <c r="Q106" i="5"/>
  <c r="R106" i="5"/>
  <c r="R142" i="5"/>
  <c r="Q142" i="5"/>
  <c r="R75" i="5"/>
  <c r="Q75" i="5"/>
  <c r="R93" i="5"/>
  <c r="Q93" i="5"/>
  <c r="R76" i="5"/>
  <c r="Q76" i="5"/>
  <c r="R83" i="5"/>
  <c r="Q83" i="5"/>
  <c r="T6" i="23"/>
  <c r="N53" i="5"/>
  <c r="M53" i="5" s="1"/>
  <c r="N250" i="5"/>
  <c r="M250" i="5" s="1"/>
  <c r="R71" i="5"/>
  <c r="Q71" i="5"/>
  <c r="T13" i="23"/>
  <c r="R55" i="5"/>
  <c r="Q55" i="5"/>
  <c r="R116" i="5"/>
  <c r="Q116" i="5"/>
  <c r="R144" i="5"/>
  <c r="Q144" i="5"/>
  <c r="R148" i="5"/>
  <c r="Q148" i="5"/>
  <c r="R151" i="5"/>
  <c r="Q151" i="5"/>
  <c r="R166" i="5"/>
  <c r="Q166" i="5"/>
  <c r="R119" i="5"/>
  <c r="Q119" i="5"/>
  <c r="R162" i="5"/>
  <c r="Q162" i="5"/>
  <c r="R165" i="5"/>
  <c r="Q165" i="5"/>
  <c r="R167" i="5"/>
  <c r="Q167" i="5"/>
  <c r="R153" i="5"/>
  <c r="Q153" i="5"/>
  <c r="R168" i="5"/>
  <c r="Q168" i="5"/>
  <c r="R171" i="5"/>
  <c r="Q171" i="5"/>
  <c r="R125" i="5"/>
  <c r="Q125" i="5"/>
  <c r="T43" i="23"/>
  <c r="A30" i="1"/>
  <c r="A39" i="1"/>
  <c r="A42" i="1"/>
  <c r="A47" i="1"/>
  <c r="A54" i="1"/>
  <c r="A55" i="1"/>
  <c r="A56" i="1"/>
  <c r="A59" i="1"/>
  <c r="A62" i="1"/>
  <c r="A92" i="1"/>
  <c r="A108" i="1"/>
  <c r="A151" i="1"/>
  <c r="A154" i="1"/>
  <c r="A157" i="1"/>
  <c r="A165" i="1"/>
  <c r="A168" i="1"/>
  <c r="A171" i="1"/>
  <c r="A174" i="1"/>
  <c r="A175" i="1"/>
  <c r="A176" i="1"/>
  <c r="A177" i="1"/>
  <c r="A188" i="1"/>
  <c r="A201" i="1"/>
  <c r="A236" i="1"/>
  <c r="A243" i="1"/>
  <c r="A248" i="1"/>
  <c r="A251" i="1"/>
  <c r="A252" i="1"/>
  <c r="A259" i="1"/>
  <c r="A260" i="1"/>
  <c r="A263" i="1"/>
  <c r="A264" i="1"/>
  <c r="A271" i="1"/>
  <c r="A272" i="1"/>
  <c r="A275" i="1"/>
  <c r="A285" i="1"/>
  <c r="A286" i="1"/>
  <c r="A291" i="1"/>
  <c r="A292" i="1"/>
  <c r="A458" i="1"/>
  <c r="A461" i="1"/>
  <c r="A494" i="1"/>
  <c r="A497" i="1"/>
  <c r="A502" i="1"/>
  <c r="A515" i="1"/>
  <c r="A581" i="1"/>
  <c r="A582" i="1"/>
  <c r="A583" i="1"/>
  <c r="A584" i="1"/>
  <c r="A585" i="1"/>
  <c r="A586" i="1"/>
  <c r="A587" i="1"/>
  <c r="A588" i="1"/>
  <c r="A589" i="1"/>
  <c r="A596" i="1"/>
  <c r="A599" i="1"/>
  <c r="A600" i="1"/>
  <c r="A601" i="1"/>
  <c r="A602" i="1"/>
  <c r="A603" i="1"/>
  <c r="A604" i="1"/>
  <c r="A605" i="1"/>
  <c r="A643" i="1"/>
  <c r="A307" i="1"/>
  <c r="A308" i="1"/>
  <c r="A309" i="1"/>
  <c r="A310" i="1"/>
  <c r="A323" i="1"/>
  <c r="A324" i="1"/>
  <c r="A325" i="1"/>
  <c r="A326" i="1"/>
  <c r="A451" i="1"/>
  <c r="A452" i="1"/>
  <c r="A4" i="1"/>
  <c r="A1" i="4" s="1"/>
  <c r="F1" i="4" s="1"/>
  <c r="O18" i="24"/>
  <c r="P18" i="24"/>
  <c r="P48" i="24" s="1"/>
  <c r="Q18" i="24"/>
  <c r="R18" i="24"/>
  <c r="R48" i="24" s="1"/>
  <c r="S18" i="24"/>
  <c r="S48" i="24" s="1"/>
  <c r="R58" i="5"/>
  <c r="Q58" i="5"/>
  <c r="J2" i="24"/>
  <c r="B56" i="24"/>
  <c r="C56" i="24" s="1"/>
  <c r="F56" i="24" s="1"/>
  <c r="G56" i="24" s="1"/>
  <c r="L3" i="24" s="1"/>
  <c r="J3" i="24"/>
  <c r="J4" i="24"/>
  <c r="F54" i="24"/>
  <c r="G54" i="24" s="1"/>
  <c r="L4" i="24" s="1"/>
  <c r="J5" i="24"/>
  <c r="F53" i="24"/>
  <c r="G53" i="24" s="1"/>
  <c r="L5" i="24" s="1"/>
  <c r="L20" i="24"/>
  <c r="L21" i="24"/>
  <c r="L22" i="24"/>
  <c r="L23" i="24"/>
  <c r="L24" i="24"/>
  <c r="L25" i="24"/>
  <c r="L26" i="24"/>
  <c r="L27" i="24"/>
  <c r="L28" i="24"/>
  <c r="L29" i="24"/>
  <c r="L30" i="24"/>
  <c r="L31" i="24"/>
  <c r="L32" i="24"/>
  <c r="L33" i="24"/>
  <c r="L34" i="24"/>
  <c r="L35" i="24"/>
  <c r="L36" i="24"/>
  <c r="L37" i="24"/>
  <c r="L38" i="24"/>
  <c r="L39" i="24"/>
  <c r="M49" i="24"/>
  <c r="D60" i="24"/>
  <c r="D61" i="24"/>
  <c r="H60" i="24"/>
  <c r="H61" i="24"/>
  <c r="C60" i="24"/>
  <c r="C63" i="24" s="1"/>
  <c r="C61" i="24"/>
  <c r="F60" i="24"/>
  <c r="F61" i="24"/>
  <c r="E60" i="24"/>
  <c r="E63" i="24" s="1"/>
  <c r="E61" i="24"/>
  <c r="K3" i="24"/>
  <c r="K4" i="24"/>
  <c r="K5" i="24"/>
  <c r="R64" i="5"/>
  <c r="Q64" i="5"/>
  <c r="R67" i="5"/>
  <c r="Q67" i="5"/>
  <c r="R243" i="5"/>
  <c r="Q243" i="5"/>
  <c r="R50" i="5"/>
  <c r="Q50" i="5"/>
  <c r="R203" i="5"/>
  <c r="Q203" i="5"/>
  <c r="O40" i="24"/>
  <c r="M40" i="24"/>
  <c r="P40" i="24"/>
  <c r="Q40" i="24"/>
  <c r="R47" i="24"/>
  <c r="R40" i="24"/>
  <c r="S40" i="24"/>
  <c r="N40" i="24"/>
  <c r="T40" i="24"/>
  <c r="R80" i="5"/>
  <c r="Q80" i="5"/>
  <c r="Q200" i="5"/>
  <c r="R200" i="5"/>
  <c r="Q199" i="5"/>
  <c r="R199" i="5"/>
  <c r="R276" i="5"/>
  <c r="Q276" i="5"/>
  <c r="R192" i="5"/>
  <c r="Q192" i="5"/>
  <c r="R190" i="5"/>
  <c r="Q190" i="5"/>
  <c r="R188" i="5"/>
  <c r="Q188" i="5"/>
  <c r="R186" i="5"/>
  <c r="Q186" i="5"/>
  <c r="R184" i="5"/>
  <c r="Q184" i="5"/>
  <c r="R182" i="5"/>
  <c r="Q182" i="5"/>
  <c r="R180" i="5"/>
  <c r="Q180" i="5"/>
  <c r="R178" i="5"/>
  <c r="Q178" i="5"/>
  <c r="R158" i="5"/>
  <c r="Q158" i="5"/>
  <c r="R156" i="5"/>
  <c r="Q156" i="5"/>
  <c r="R146" i="5"/>
  <c r="Q146" i="5"/>
  <c r="R118" i="5"/>
  <c r="Q118" i="5"/>
  <c r="R122" i="5"/>
  <c r="Q122" i="5"/>
  <c r="R65" i="5"/>
  <c r="Q65" i="5"/>
  <c r="G60" i="24"/>
  <c r="G61" i="24"/>
  <c r="G70" i="23"/>
  <c r="G71" i="23"/>
  <c r="F67" i="23"/>
  <c r="G67" i="23"/>
  <c r="Q196" i="5"/>
  <c r="R196" i="5"/>
  <c r="Q53" i="5"/>
  <c r="R53" i="5"/>
  <c r="Q54" i="5"/>
  <c r="R54" i="5"/>
  <c r="Q57" i="5"/>
  <c r="R57" i="5"/>
  <c r="Q254" i="5"/>
  <c r="R254" i="5"/>
  <c r="Q255" i="5"/>
  <c r="R255" i="5"/>
  <c r="Q59" i="5"/>
  <c r="R59" i="5"/>
  <c r="Q60" i="5"/>
  <c r="R60" i="5"/>
  <c r="Q61" i="5"/>
  <c r="R61" i="5"/>
  <c r="Q62" i="5"/>
  <c r="R62" i="5"/>
  <c r="Q66" i="5"/>
  <c r="R66" i="5"/>
  <c r="Q68" i="5"/>
  <c r="R68" i="5"/>
  <c r="Q70" i="5"/>
  <c r="R70" i="5"/>
  <c r="Q72" i="5"/>
  <c r="R72" i="5"/>
  <c r="Q77" i="5"/>
  <c r="R77" i="5"/>
  <c r="Q78" i="5"/>
  <c r="R78" i="5"/>
  <c r="Q79" i="5"/>
  <c r="R79" i="5"/>
  <c r="Q82" i="5"/>
  <c r="R82" i="5"/>
  <c r="Q84" i="5"/>
  <c r="R84" i="5"/>
  <c r="Q85" i="5"/>
  <c r="R85" i="5"/>
  <c r="Q86" i="5"/>
  <c r="R86" i="5"/>
  <c r="Q88" i="5"/>
  <c r="R88" i="5"/>
  <c r="Q89" i="5"/>
  <c r="R89" i="5"/>
  <c r="Q90" i="5"/>
  <c r="R90" i="5"/>
  <c r="Q92" i="5"/>
  <c r="R92" i="5"/>
  <c r="Q94" i="5"/>
  <c r="R94" i="5"/>
  <c r="Q95" i="5"/>
  <c r="R95" i="5"/>
  <c r="Q96" i="5"/>
  <c r="R96" i="5"/>
  <c r="Q97" i="5"/>
  <c r="R97" i="5"/>
  <c r="Q98" i="5"/>
  <c r="R98" i="5"/>
  <c r="Q99" i="5"/>
  <c r="R99" i="5"/>
  <c r="Q100" i="5"/>
  <c r="R100" i="5"/>
  <c r="Q101" i="5"/>
  <c r="R101" i="5"/>
  <c r="Q102" i="5"/>
  <c r="R102" i="5"/>
  <c r="Q103" i="5"/>
  <c r="R103" i="5"/>
  <c r="Q105" i="5"/>
  <c r="R105" i="5"/>
  <c r="Q108" i="5"/>
  <c r="R108" i="5"/>
  <c r="Q109" i="5"/>
  <c r="R109" i="5"/>
  <c r="Q110" i="5"/>
  <c r="R110" i="5"/>
  <c r="Q111" i="5"/>
  <c r="R111" i="5"/>
  <c r="Q112" i="5"/>
  <c r="R112" i="5"/>
  <c r="Q113" i="5"/>
  <c r="R113" i="5"/>
  <c r="Q115" i="5"/>
  <c r="R115" i="5"/>
  <c r="Q124" i="5"/>
  <c r="R124" i="5"/>
  <c r="Q126" i="5"/>
  <c r="R126" i="5"/>
  <c r="Q127" i="5"/>
  <c r="R127" i="5"/>
  <c r="Q128" i="5"/>
  <c r="R128" i="5"/>
  <c r="Q129" i="5"/>
  <c r="R129" i="5"/>
  <c r="Q130" i="5"/>
  <c r="R130" i="5"/>
  <c r="Q131" i="5"/>
  <c r="R131" i="5"/>
  <c r="Q132" i="5"/>
  <c r="R132" i="5"/>
  <c r="Q133" i="5"/>
  <c r="R133" i="5"/>
  <c r="Q134" i="5"/>
  <c r="R134" i="5"/>
  <c r="Q135" i="5"/>
  <c r="R135" i="5"/>
  <c r="Q137" i="5"/>
  <c r="R137" i="5"/>
  <c r="Q138" i="5"/>
  <c r="R138" i="5"/>
  <c r="Q139" i="5"/>
  <c r="R139" i="5"/>
  <c r="Q140" i="5"/>
  <c r="R140" i="5"/>
  <c r="Q141" i="5"/>
  <c r="R141" i="5"/>
  <c r="Q143" i="5"/>
  <c r="R143" i="5"/>
  <c r="Q149" i="5"/>
  <c r="R149" i="5"/>
  <c r="Q154" i="5"/>
  <c r="R154" i="5"/>
  <c r="Q159" i="5"/>
  <c r="R159" i="5"/>
  <c r="Q176" i="5"/>
  <c r="R176" i="5"/>
  <c r="Q193" i="5"/>
  <c r="R193" i="5"/>
  <c r="Q194" i="5"/>
  <c r="R194" i="5"/>
  <c r="Q195" i="5"/>
  <c r="R195" i="5"/>
  <c r="Q197" i="5"/>
  <c r="R197" i="5"/>
  <c r="Q198" i="5"/>
  <c r="R198" i="5"/>
  <c r="Q204" i="5"/>
  <c r="R204" i="5"/>
  <c r="Q205" i="5"/>
  <c r="R205" i="5"/>
  <c r="Q206" i="5"/>
  <c r="R206" i="5"/>
  <c r="Q207" i="5"/>
  <c r="R207" i="5"/>
  <c r="Q208" i="5"/>
  <c r="R208" i="5"/>
  <c r="Q209" i="5"/>
  <c r="R209" i="5"/>
  <c r="Q210" i="5"/>
  <c r="R210" i="5"/>
  <c r="Q211" i="5"/>
  <c r="R211" i="5"/>
  <c r="Q212" i="5"/>
  <c r="R212" i="5"/>
  <c r="Q213" i="5"/>
  <c r="R213" i="5"/>
  <c r="Q214" i="5"/>
  <c r="R214" i="5"/>
  <c r="Q215" i="5"/>
  <c r="R215" i="5"/>
  <c r="Q216" i="5"/>
  <c r="R216" i="5"/>
  <c r="Q217" i="5"/>
  <c r="R217" i="5"/>
  <c r="Q218" i="5"/>
  <c r="R218" i="5"/>
  <c r="Q219" i="5"/>
  <c r="R219" i="5"/>
  <c r="Q220" i="5"/>
  <c r="R220" i="5"/>
  <c r="Q221" i="5"/>
  <c r="R221" i="5"/>
  <c r="Q222" i="5"/>
  <c r="R222" i="5"/>
  <c r="Q223" i="5"/>
  <c r="R223" i="5"/>
  <c r="Q224" i="5"/>
  <c r="R224" i="5"/>
  <c r="Q225" i="5"/>
  <c r="R225" i="5"/>
  <c r="Q226" i="5"/>
  <c r="R226" i="5"/>
  <c r="Q227" i="5"/>
  <c r="R227" i="5"/>
  <c r="Q228" i="5"/>
  <c r="R228" i="5"/>
  <c r="Q229" i="5"/>
  <c r="R229" i="5"/>
  <c r="Q230" i="5"/>
  <c r="R230" i="5"/>
  <c r="Q231" i="5"/>
  <c r="R231" i="5"/>
  <c r="Q232" i="5"/>
  <c r="R232" i="5"/>
  <c r="Q233" i="5"/>
  <c r="R233" i="5"/>
  <c r="Q234" i="5"/>
  <c r="R234" i="5"/>
  <c r="Q235" i="5"/>
  <c r="R235" i="5"/>
  <c r="Q236" i="5"/>
  <c r="R236" i="5"/>
  <c r="Q237" i="5"/>
  <c r="R237" i="5"/>
  <c r="Q238" i="5"/>
  <c r="R238" i="5"/>
  <c r="Q242" i="5"/>
  <c r="R242" i="5"/>
  <c r="Q247" i="5"/>
  <c r="R247" i="5"/>
  <c r="Q248" i="5"/>
  <c r="R248" i="5"/>
  <c r="Q249" i="5"/>
  <c r="R249" i="5"/>
  <c r="Q250" i="5"/>
  <c r="R250" i="5"/>
  <c r="Q251" i="5"/>
  <c r="R251" i="5"/>
  <c r="Q252" i="5"/>
  <c r="R252" i="5"/>
  <c r="Q253" i="5"/>
  <c r="R253" i="5"/>
  <c r="Q256" i="5"/>
  <c r="R256" i="5"/>
  <c r="Q257" i="5"/>
  <c r="R257" i="5"/>
  <c r="Q258" i="5"/>
  <c r="R258" i="5"/>
  <c r="Q259" i="5"/>
  <c r="R259" i="5"/>
  <c r="Q260" i="5"/>
  <c r="R260" i="5"/>
  <c r="Q261" i="5"/>
  <c r="R261" i="5"/>
  <c r="Q262" i="5"/>
  <c r="R262" i="5"/>
  <c r="Q263" i="5"/>
  <c r="R263" i="5"/>
  <c r="Q264" i="5"/>
  <c r="R264" i="5"/>
  <c r="Q265" i="5"/>
  <c r="R265" i="5"/>
  <c r="Q266" i="5"/>
  <c r="R266" i="5"/>
  <c r="Q268" i="5"/>
  <c r="R268" i="5"/>
  <c r="Q269" i="5"/>
  <c r="R269" i="5"/>
  <c r="Q270" i="5"/>
  <c r="R270" i="5"/>
  <c r="Q271" i="5"/>
  <c r="R271" i="5"/>
  <c r="Q272" i="5"/>
  <c r="R272" i="5"/>
  <c r="Q273" i="5"/>
  <c r="R273" i="5"/>
  <c r="Q277" i="5"/>
  <c r="R277" i="5"/>
  <c r="Q278" i="5"/>
  <c r="R278" i="5"/>
  <c r="Q282" i="5"/>
  <c r="R282" i="5"/>
  <c r="Q3" i="5"/>
  <c r="R3" i="5"/>
  <c r="Q4" i="5"/>
  <c r="R4" i="5"/>
  <c r="Q5" i="5"/>
  <c r="R5" i="5"/>
  <c r="Q7" i="5"/>
  <c r="R7" i="5"/>
  <c r="Q8" i="5"/>
  <c r="R8" i="5"/>
  <c r="Q9" i="5"/>
  <c r="R9" i="5"/>
  <c r="Q10" i="5"/>
  <c r="R10" i="5"/>
  <c r="Q12" i="5"/>
  <c r="R12" i="5"/>
  <c r="Q13" i="5"/>
  <c r="R13" i="5"/>
  <c r="Q14" i="5"/>
  <c r="R14" i="5"/>
  <c r="Q15" i="5"/>
  <c r="R15" i="5"/>
  <c r="Q16" i="5"/>
  <c r="R16" i="5"/>
  <c r="Q17" i="5"/>
  <c r="R17" i="5"/>
  <c r="Q18" i="5"/>
  <c r="R18" i="5"/>
  <c r="Q19" i="5"/>
  <c r="R19" i="5"/>
  <c r="Q20" i="5"/>
  <c r="R20" i="5"/>
  <c r="Q21" i="5"/>
  <c r="R21" i="5"/>
  <c r="Q22" i="5"/>
  <c r="R22" i="5"/>
  <c r="Q23" i="5"/>
  <c r="R23" i="5"/>
  <c r="Q24" i="5"/>
  <c r="R24" i="5"/>
  <c r="Q25" i="5"/>
  <c r="R25" i="5"/>
  <c r="Q26" i="5"/>
  <c r="R26" i="5"/>
  <c r="Q27" i="5"/>
  <c r="R27" i="5"/>
  <c r="Q28" i="5"/>
  <c r="R28" i="5"/>
  <c r="Q29" i="5"/>
  <c r="R29" i="5"/>
  <c r="Q30" i="5"/>
  <c r="R30" i="5"/>
  <c r="Q31" i="5"/>
  <c r="R31" i="5"/>
  <c r="Q32" i="5"/>
  <c r="R32" i="5"/>
  <c r="Q33" i="5"/>
  <c r="R33" i="5"/>
  <c r="Q34" i="5"/>
  <c r="R34" i="5"/>
  <c r="Q35" i="5"/>
  <c r="R35" i="5"/>
  <c r="Q36" i="5"/>
  <c r="R36" i="5"/>
  <c r="Q38" i="5"/>
  <c r="R38" i="5"/>
  <c r="Q39" i="5"/>
  <c r="R39" i="5"/>
  <c r="Q40" i="5"/>
  <c r="R40" i="5"/>
  <c r="Q41" i="5"/>
  <c r="R41" i="5"/>
  <c r="Q42" i="5"/>
  <c r="R42" i="5"/>
  <c r="Q43" i="5"/>
  <c r="R43" i="5"/>
  <c r="Q44" i="5"/>
  <c r="R44" i="5"/>
  <c r="Q45" i="5"/>
  <c r="R45" i="5"/>
  <c r="Q46" i="5"/>
  <c r="R46" i="5"/>
  <c r="Q47" i="5"/>
  <c r="R47" i="5"/>
  <c r="Q51" i="5"/>
  <c r="R51" i="5"/>
  <c r="R2" i="5"/>
  <c r="Q2" i="5"/>
  <c r="N249" i="5"/>
  <c r="M249" i="5" s="1"/>
  <c r="N251" i="5"/>
  <c r="M251" i="5" s="1"/>
  <c r="N100" i="5"/>
  <c r="M100" i="5" s="1"/>
  <c r="C1" i="4"/>
  <c r="J1" i="4" s="1"/>
  <c r="B1" i="4"/>
  <c r="G1" i="4" s="1"/>
  <c r="A277" i="4" l="1"/>
  <c r="F277" i="4" s="1"/>
  <c r="A132" i="4"/>
  <c r="F132" i="4" s="1"/>
  <c r="A276" i="4"/>
  <c r="F276" i="4" s="1"/>
  <c r="A215" i="4"/>
  <c r="F215" i="4" s="1"/>
  <c r="A149" i="4"/>
  <c r="F149" i="4" s="1"/>
  <c r="A67" i="4"/>
  <c r="F67" i="4" s="1"/>
  <c r="A43" i="4"/>
  <c r="F43" i="4" s="1"/>
  <c r="A35" i="4"/>
  <c r="F35" i="4" s="1"/>
  <c r="A3" i="4"/>
  <c r="F3" i="4" s="1"/>
  <c r="A130" i="4"/>
  <c r="F130" i="4" s="1"/>
  <c r="A114" i="4"/>
  <c r="F114" i="4" s="1"/>
  <c r="A82" i="4"/>
  <c r="F82" i="4" s="1"/>
  <c r="A74" i="4"/>
  <c r="F74" i="4" s="1"/>
  <c r="A58" i="4"/>
  <c r="F58" i="4" s="1"/>
  <c r="A50" i="4"/>
  <c r="F50" i="4" s="1"/>
  <c r="A26" i="4"/>
  <c r="F26" i="4" s="1"/>
  <c r="A18" i="4"/>
  <c r="F18" i="4" s="1"/>
  <c r="A10" i="4"/>
  <c r="F10" i="4" s="1"/>
  <c r="A226" i="4"/>
  <c r="F226" i="4" s="1"/>
  <c r="A181" i="4"/>
  <c r="F181" i="4" s="1"/>
  <c r="A97" i="4"/>
  <c r="F97" i="4" s="1"/>
  <c r="A65" i="4"/>
  <c r="F65" i="4" s="1"/>
  <c r="A41" i="4"/>
  <c r="F41" i="4" s="1"/>
  <c r="A9" i="4"/>
  <c r="F9" i="4" s="1"/>
  <c r="A281" i="4"/>
  <c r="F281" i="4" s="1"/>
  <c r="A273" i="4"/>
  <c r="F273" i="4" s="1"/>
  <c r="A265" i="4"/>
  <c r="F265" i="4" s="1"/>
  <c r="A257" i="4"/>
  <c r="F257" i="4" s="1"/>
  <c r="A249" i="4"/>
  <c r="F249" i="4" s="1"/>
  <c r="A241" i="4"/>
  <c r="F241" i="4" s="1"/>
  <c r="A196" i="4"/>
  <c r="F196" i="4" s="1"/>
  <c r="A188" i="4"/>
  <c r="F188" i="4" s="1"/>
  <c r="A146" i="4"/>
  <c r="F146" i="4" s="1"/>
  <c r="A128" i="4"/>
  <c r="F128" i="4" s="1"/>
  <c r="A120" i="4"/>
  <c r="F120" i="4" s="1"/>
  <c r="A112" i="4"/>
  <c r="F112" i="4" s="1"/>
  <c r="A104" i="4"/>
  <c r="F104" i="4" s="1"/>
  <c r="A96" i="4"/>
  <c r="F96" i="4" s="1"/>
  <c r="A88" i="4"/>
  <c r="F88" i="4" s="1"/>
  <c r="A80" i="4"/>
  <c r="F80" i="4" s="1"/>
  <c r="A48" i="4"/>
  <c r="F48" i="4" s="1"/>
  <c r="A24" i="4"/>
  <c r="F24" i="4" s="1"/>
  <c r="A16" i="4"/>
  <c r="F16" i="4" s="1"/>
  <c r="A232" i="4"/>
  <c r="F232" i="4" s="1"/>
  <c r="A224" i="4"/>
  <c r="F224" i="4" s="1"/>
  <c r="A211" i="4"/>
  <c r="F211" i="4" s="1"/>
  <c r="A203" i="4"/>
  <c r="F203" i="4" s="1"/>
  <c r="A169" i="4"/>
  <c r="F169" i="4" s="1"/>
  <c r="A136" i="4"/>
  <c r="F136" i="4" s="1"/>
  <c r="A71" i="4"/>
  <c r="F71" i="4" s="1"/>
  <c r="A63" i="4"/>
  <c r="F63" i="4" s="1"/>
  <c r="A55" i="4"/>
  <c r="F55" i="4" s="1"/>
  <c r="A31" i="4"/>
  <c r="F31" i="4" s="1"/>
  <c r="A7" i="4"/>
  <c r="F7" i="4" s="1"/>
  <c r="A269" i="4"/>
  <c r="F269" i="4" s="1"/>
  <c r="A261" i="4"/>
  <c r="F261" i="4" s="1"/>
  <c r="A253" i="4"/>
  <c r="F253" i="4" s="1"/>
  <c r="A192" i="4"/>
  <c r="F192" i="4" s="1"/>
  <c r="A166" i="4"/>
  <c r="F166" i="4" s="1"/>
  <c r="A158" i="4"/>
  <c r="F158" i="4" s="1"/>
  <c r="A142" i="4"/>
  <c r="F142" i="4" s="1"/>
  <c r="A124" i="4"/>
  <c r="F124" i="4" s="1"/>
  <c r="A116" i="4"/>
  <c r="F116" i="4" s="1"/>
  <c r="A108" i="4"/>
  <c r="F108" i="4" s="1"/>
  <c r="A84" i="4"/>
  <c r="F84" i="4" s="1"/>
  <c r="A76" i="4"/>
  <c r="F76" i="4" s="1"/>
  <c r="A20" i="4"/>
  <c r="F20" i="4" s="1"/>
  <c r="A12" i="4"/>
  <c r="F12" i="4" s="1"/>
  <c r="A244" i="4"/>
  <c r="F244" i="4" s="1"/>
  <c r="A228" i="4"/>
  <c r="F228" i="4" s="1"/>
  <c r="A207" i="4"/>
  <c r="F207" i="4" s="1"/>
  <c r="A199" i="4"/>
  <c r="F199" i="4" s="1"/>
  <c r="A183" i="4"/>
  <c r="F183" i="4" s="1"/>
  <c r="A99" i="4"/>
  <c r="F99" i="4" s="1"/>
  <c r="A91" i="4"/>
  <c r="F91" i="4" s="1"/>
  <c r="A283" i="4"/>
  <c r="F283" i="4" s="1"/>
  <c r="A267" i="4"/>
  <c r="F267" i="4" s="1"/>
  <c r="A190" i="4"/>
  <c r="F190" i="4" s="1"/>
  <c r="A156" i="4"/>
  <c r="F156" i="4" s="1"/>
  <c r="A140" i="4"/>
  <c r="F140" i="4" s="1"/>
  <c r="A122" i="4"/>
  <c r="F122" i="4" s="1"/>
  <c r="A106" i="4"/>
  <c r="F106" i="4" s="1"/>
  <c r="A34" i="4"/>
  <c r="F34" i="4" s="1"/>
  <c r="A213" i="4"/>
  <c r="F213" i="4" s="1"/>
  <c r="A205" i="4"/>
  <c r="F205" i="4" s="1"/>
  <c r="A163" i="4"/>
  <c r="F163" i="4" s="1"/>
  <c r="A287" i="4"/>
  <c r="F287" i="4" s="1"/>
  <c r="A279" i="4"/>
  <c r="F279" i="4" s="1"/>
  <c r="A255" i="4"/>
  <c r="F255" i="4" s="1"/>
  <c r="A239" i="4"/>
  <c r="F239" i="4" s="1"/>
  <c r="A194" i="4"/>
  <c r="F194" i="4" s="1"/>
  <c r="A186" i="4"/>
  <c r="F186" i="4" s="1"/>
  <c r="A160" i="4"/>
  <c r="F160" i="4" s="1"/>
  <c r="A152" i="4"/>
  <c r="F152" i="4" s="1"/>
  <c r="A144" i="4"/>
  <c r="F144" i="4" s="1"/>
  <c r="A126" i="4"/>
  <c r="F126" i="4" s="1"/>
  <c r="A118" i="4"/>
  <c r="F118" i="4" s="1"/>
  <c r="A110" i="4"/>
  <c r="F110" i="4" s="1"/>
  <c r="A94" i="4"/>
  <c r="F94" i="4" s="1"/>
  <c r="A86" i="4"/>
  <c r="F86" i="4" s="1"/>
  <c r="A78" i="4"/>
  <c r="F78" i="4" s="1"/>
  <c r="A46" i="4"/>
  <c r="F46" i="4" s="1"/>
  <c r="A38" i="4"/>
  <c r="F38" i="4" s="1"/>
  <c r="A22" i="4"/>
  <c r="F22" i="4" s="1"/>
  <c r="A14" i="4"/>
  <c r="F14" i="4" s="1"/>
  <c r="A246" i="4"/>
  <c r="F246" i="4" s="1"/>
  <c r="A230" i="4"/>
  <c r="F230" i="4" s="1"/>
  <c r="A217" i="4"/>
  <c r="F217" i="4" s="1"/>
  <c r="A209" i="4"/>
  <c r="F209" i="4" s="1"/>
  <c r="A201" i="4"/>
  <c r="F201" i="4" s="1"/>
  <c r="A101" i="4"/>
  <c r="F101" i="4" s="1"/>
  <c r="A93" i="4"/>
  <c r="F93" i="4" s="1"/>
  <c r="A69" i="4"/>
  <c r="F69" i="4" s="1"/>
  <c r="A61" i="4"/>
  <c r="F61" i="4" s="1"/>
  <c r="A29" i="4"/>
  <c r="F29" i="4" s="1"/>
  <c r="A5" i="4"/>
  <c r="F5" i="4" s="1"/>
  <c r="R41" i="23"/>
  <c r="O29" i="23"/>
  <c r="P28" i="23"/>
  <c r="R40" i="23"/>
  <c r="O28" i="23"/>
  <c r="Q40" i="23"/>
  <c r="C73" i="23"/>
  <c r="P41" i="23"/>
  <c r="P34" i="23"/>
  <c r="P32" i="23"/>
  <c r="P33" i="23"/>
  <c r="S38" i="5"/>
  <c r="N38" i="5" s="1"/>
  <c r="M38" i="5" s="1"/>
  <c r="S29" i="5"/>
  <c r="N29" i="5" s="1"/>
  <c r="M29" i="5" s="1"/>
  <c r="S21" i="5"/>
  <c r="N21" i="5" s="1"/>
  <c r="M21" i="5" s="1"/>
  <c r="S13" i="5"/>
  <c r="N13" i="5" s="1"/>
  <c r="M13" i="5" s="1"/>
  <c r="S4" i="5"/>
  <c r="N4" i="5" s="1"/>
  <c r="M4" i="5" s="1"/>
  <c r="S216" i="5"/>
  <c r="N216" i="5" s="1"/>
  <c r="M216" i="5" s="1"/>
  <c r="S113" i="5"/>
  <c r="N113" i="5" s="1"/>
  <c r="M113" i="5" s="1"/>
  <c r="S88" i="5"/>
  <c r="N88" i="5" s="1"/>
  <c r="M88" i="5" s="1"/>
  <c r="P23" i="23"/>
  <c r="Q24" i="23"/>
  <c r="S36" i="24"/>
  <c r="H63" i="24"/>
  <c r="H64" i="24" s="1"/>
  <c r="S33" i="24"/>
  <c r="P32" i="24"/>
  <c r="P24" i="24"/>
  <c r="P31" i="23"/>
  <c r="S68" i="5"/>
  <c r="N68" i="5" s="1"/>
  <c r="M68" i="5" s="1"/>
  <c r="S141" i="5"/>
  <c r="S22" i="24"/>
  <c r="O37" i="24"/>
  <c r="R29" i="24"/>
  <c r="O28" i="24"/>
  <c r="R21" i="24"/>
  <c r="O20" i="24"/>
  <c r="N26" i="23"/>
  <c r="S26" i="23"/>
  <c r="D73" i="23"/>
  <c r="E64" i="24"/>
  <c r="N64" i="24" s="1"/>
  <c r="L12" i="24" s="1"/>
  <c r="P12" i="24" s="1"/>
  <c r="F63" i="24"/>
  <c r="F64" i="24" s="1"/>
  <c r="M64" i="24" s="1"/>
  <c r="L11" i="24" s="1"/>
  <c r="R11" i="24" s="1"/>
  <c r="C64" i="24"/>
  <c r="L64" i="24" s="1"/>
  <c r="L10" i="24" s="1"/>
  <c r="N10" i="24" s="1"/>
  <c r="S32" i="24"/>
  <c r="P31" i="24"/>
  <c r="S24" i="24"/>
  <c r="P23" i="24"/>
  <c r="N23" i="24"/>
  <c r="R27" i="23"/>
  <c r="G63" i="24"/>
  <c r="G64" i="24" s="1"/>
  <c r="R32" i="24"/>
  <c r="O31" i="24"/>
  <c r="P26" i="24"/>
  <c r="R24" i="24"/>
  <c r="O23" i="24"/>
  <c r="S29" i="23"/>
  <c r="R28" i="23"/>
  <c r="O48" i="24"/>
  <c r="X21" i="24"/>
  <c r="C393" i="1" s="1"/>
  <c r="Q32" i="24"/>
  <c r="Q28" i="23"/>
  <c r="Q4" i="24"/>
  <c r="O4" i="24"/>
  <c r="P4" i="24"/>
  <c r="R4" i="24"/>
  <c r="N4" i="24"/>
  <c r="R36" i="24"/>
  <c r="N38" i="24"/>
  <c r="N29" i="24"/>
  <c r="N21" i="24"/>
  <c r="S152" i="5"/>
  <c r="N152" i="5" s="1"/>
  <c r="M152" i="5" s="1"/>
  <c r="S25" i="23"/>
  <c r="R30" i="24"/>
  <c r="O29" i="24"/>
  <c r="R22" i="24"/>
  <c r="O21" i="24"/>
  <c r="N37" i="24"/>
  <c r="N28" i="24"/>
  <c r="N20" i="24"/>
  <c r="Q39" i="24"/>
  <c r="S37" i="24"/>
  <c r="P36" i="24"/>
  <c r="O32" i="24"/>
  <c r="S28" i="24"/>
  <c r="O24" i="24"/>
  <c r="S20" i="24"/>
  <c r="O41" i="23"/>
  <c r="S37" i="23"/>
  <c r="S35" i="23"/>
  <c r="Q25" i="23"/>
  <c r="O23" i="23"/>
  <c r="N22" i="23"/>
  <c r="Q29" i="24"/>
  <c r="Q21" i="24"/>
  <c r="K59" i="23"/>
  <c r="D63" i="24"/>
  <c r="D64" i="24" s="1"/>
  <c r="K64" i="24" s="1"/>
  <c r="L9" i="24" s="1"/>
  <c r="P9" i="24" s="1"/>
  <c r="T4" i="24"/>
  <c r="P39" i="24"/>
  <c r="R37" i="24"/>
  <c r="O36" i="24"/>
  <c r="R28" i="24"/>
  <c r="R20" i="24"/>
  <c r="Q26" i="23"/>
  <c r="M4" i="24"/>
  <c r="O39" i="24"/>
  <c r="Q37" i="24"/>
  <c r="Q20" i="24"/>
  <c r="N33" i="24"/>
  <c r="Q35" i="23"/>
  <c r="N32" i="23"/>
  <c r="Q27" i="23"/>
  <c r="P26" i="23"/>
  <c r="N24" i="23"/>
  <c r="O22" i="23"/>
  <c r="S57" i="5"/>
  <c r="N57" i="5" s="1"/>
  <c r="M57" i="5" s="1"/>
  <c r="F55" i="24"/>
  <c r="G55" i="24" s="1"/>
  <c r="L2" i="24" s="1"/>
  <c r="M2" i="24" s="1"/>
  <c r="Q31" i="24"/>
  <c r="S29" i="24"/>
  <c r="P28" i="24"/>
  <c r="R26" i="24"/>
  <c r="Q23" i="24"/>
  <c r="S21" i="24"/>
  <c r="P20" i="24"/>
  <c r="N32" i="24"/>
  <c r="N24" i="24"/>
  <c r="S40" i="23"/>
  <c r="O34" i="23"/>
  <c r="P27" i="23"/>
  <c r="O26" i="23"/>
  <c r="R23" i="23"/>
  <c r="R38" i="24"/>
  <c r="S193" i="5"/>
  <c r="N193" i="5" s="1"/>
  <c r="M193" i="5" s="1"/>
  <c r="S134" i="5"/>
  <c r="N134" i="5" s="1"/>
  <c r="M134" i="5" s="1"/>
  <c r="S108" i="5"/>
  <c r="N108" i="5" s="1"/>
  <c r="M108" i="5" s="1"/>
  <c r="S95" i="5"/>
  <c r="N95" i="5" s="1"/>
  <c r="M95" i="5" s="1"/>
  <c r="S65" i="5"/>
  <c r="N65" i="5" s="1"/>
  <c r="M65" i="5" s="1"/>
  <c r="S182" i="5"/>
  <c r="N182" i="5" s="1"/>
  <c r="M182" i="5" s="1"/>
  <c r="S186" i="5"/>
  <c r="N186" i="5" s="1"/>
  <c r="M186" i="5" s="1"/>
  <c r="S190" i="5"/>
  <c r="N190" i="5" s="1"/>
  <c r="M190" i="5" s="1"/>
  <c r="S153" i="5"/>
  <c r="N153" i="5" s="1"/>
  <c r="M153" i="5" s="1"/>
  <c r="S165" i="5"/>
  <c r="N165" i="5" s="1"/>
  <c r="M165" i="5" s="1"/>
  <c r="S119" i="5"/>
  <c r="N119" i="5" s="1"/>
  <c r="M119" i="5" s="1"/>
  <c r="S151" i="5"/>
  <c r="N151" i="5" s="1"/>
  <c r="M151" i="5" s="1"/>
  <c r="S76" i="5"/>
  <c r="N76" i="5" s="1"/>
  <c r="M76" i="5" s="1"/>
  <c r="S44" i="5"/>
  <c r="N44" i="5" s="1"/>
  <c r="M44" i="5" s="1"/>
  <c r="S33" i="5"/>
  <c r="N33" i="5" s="1"/>
  <c r="M33" i="5" s="1"/>
  <c r="S25" i="5"/>
  <c r="N25" i="5" s="1"/>
  <c r="M25" i="5" s="1"/>
  <c r="S17" i="5"/>
  <c r="N17" i="5" s="1"/>
  <c r="M17" i="5" s="1"/>
  <c r="S9" i="5"/>
  <c r="N9" i="5" s="1"/>
  <c r="M9" i="5" s="1"/>
  <c r="S210" i="5"/>
  <c r="N210" i="5" s="1"/>
  <c r="M210" i="5" s="1"/>
  <c r="S78" i="5"/>
  <c r="N78" i="5" s="1"/>
  <c r="M78" i="5" s="1"/>
  <c r="S60" i="5"/>
  <c r="N60" i="5" s="1"/>
  <c r="M60" i="5" s="1"/>
  <c r="S180" i="5"/>
  <c r="N180" i="5" s="1"/>
  <c r="M180" i="5" s="1"/>
  <c r="S188" i="5"/>
  <c r="N188" i="5" s="1"/>
  <c r="M188" i="5" s="1"/>
  <c r="S168" i="5"/>
  <c r="N168" i="5" s="1"/>
  <c r="M168" i="5" s="1"/>
  <c r="S162" i="5"/>
  <c r="N162" i="5" s="1"/>
  <c r="M162" i="5" s="1"/>
  <c r="S116" i="5"/>
  <c r="N116" i="5" s="1"/>
  <c r="M116" i="5" s="1"/>
  <c r="S71" i="5"/>
  <c r="N71" i="5" s="1"/>
  <c r="M71" i="5" s="1"/>
  <c r="S83" i="5"/>
  <c r="N83" i="5" s="1"/>
  <c r="M83" i="5" s="1"/>
  <c r="S106" i="5"/>
  <c r="N106" i="5" s="1"/>
  <c r="M106" i="5" s="1"/>
  <c r="S48" i="5"/>
  <c r="N48" i="5" s="1"/>
  <c r="M48" i="5" s="1"/>
  <c r="S2" i="5"/>
  <c r="N2" i="5" s="1"/>
  <c r="M2" i="5" s="1"/>
  <c r="S45" i="5"/>
  <c r="N45" i="5" s="1"/>
  <c r="M45" i="5" s="1"/>
  <c r="S43" i="5"/>
  <c r="N43" i="5" s="1"/>
  <c r="M43" i="5" s="1"/>
  <c r="S41" i="5"/>
  <c r="N41" i="5" s="1"/>
  <c r="M41" i="5" s="1"/>
  <c r="S39" i="5"/>
  <c r="N39" i="5" s="1"/>
  <c r="M39" i="5" s="1"/>
  <c r="S34" i="5"/>
  <c r="N34" i="5" s="1"/>
  <c r="M34" i="5" s="1"/>
  <c r="S30" i="5"/>
  <c r="N30" i="5" s="1"/>
  <c r="M30" i="5" s="1"/>
  <c r="S26" i="5"/>
  <c r="N26" i="5" s="1"/>
  <c r="M26" i="5" s="1"/>
  <c r="S22" i="5"/>
  <c r="N22" i="5" s="1"/>
  <c r="M22" i="5" s="1"/>
  <c r="S18" i="5"/>
  <c r="N18" i="5" s="1"/>
  <c r="M18" i="5" s="1"/>
  <c r="S14" i="5"/>
  <c r="N14" i="5" s="1"/>
  <c r="M14" i="5" s="1"/>
  <c r="S5" i="5"/>
  <c r="N5" i="5" s="1"/>
  <c r="M5" i="5" s="1"/>
  <c r="S256" i="5"/>
  <c r="N256" i="5" s="1"/>
  <c r="M256" i="5" s="1"/>
  <c r="S242" i="5"/>
  <c r="N242" i="5" s="1"/>
  <c r="M242" i="5" s="1"/>
  <c r="S235" i="5"/>
  <c r="N235" i="5" s="1"/>
  <c r="M235" i="5" s="1"/>
  <c r="S231" i="5"/>
  <c r="N231" i="5" s="1"/>
  <c r="M231" i="5" s="1"/>
  <c r="S225" i="5"/>
  <c r="N225" i="5" s="1"/>
  <c r="M225" i="5" s="1"/>
  <c r="S221" i="5"/>
  <c r="N221" i="5" s="1"/>
  <c r="M221" i="5" s="1"/>
  <c r="S217" i="5"/>
  <c r="N217" i="5" s="1"/>
  <c r="M217" i="5" s="1"/>
  <c r="S213" i="5"/>
  <c r="N213" i="5" s="1"/>
  <c r="M213" i="5" s="1"/>
  <c r="S149" i="5"/>
  <c r="N149" i="5" s="1"/>
  <c r="M149" i="5" s="1"/>
  <c r="S112" i="5"/>
  <c r="N112" i="5" s="1"/>
  <c r="M112" i="5" s="1"/>
  <c r="S110" i="5"/>
  <c r="N110" i="5" s="1"/>
  <c r="M110" i="5" s="1"/>
  <c r="S92" i="5"/>
  <c r="N92" i="5" s="1"/>
  <c r="M92" i="5" s="1"/>
  <c r="S84" i="5"/>
  <c r="N84" i="5" s="1"/>
  <c r="M84" i="5" s="1"/>
  <c r="S79" i="5"/>
  <c r="N79" i="5" s="1"/>
  <c r="M79" i="5" s="1"/>
  <c r="S70" i="5"/>
  <c r="N70" i="5" s="1"/>
  <c r="M70" i="5" s="1"/>
  <c r="S61" i="5"/>
  <c r="N61" i="5" s="1"/>
  <c r="M61" i="5" s="1"/>
  <c r="S59" i="5"/>
  <c r="S254" i="5"/>
  <c r="N254" i="5" s="1"/>
  <c r="M254" i="5" s="1"/>
  <c r="S196" i="5"/>
  <c r="N196" i="5" s="1"/>
  <c r="M196" i="5" s="1"/>
  <c r="S67" i="5"/>
  <c r="N67" i="5" s="1"/>
  <c r="M67" i="5" s="1"/>
  <c r="S171" i="5"/>
  <c r="N171" i="5" s="1"/>
  <c r="M171" i="5" s="1"/>
  <c r="S81" i="5"/>
  <c r="N81" i="5" s="1"/>
  <c r="M81" i="5" s="1"/>
  <c r="S51" i="5"/>
  <c r="N51" i="5" s="1"/>
  <c r="M51" i="5" s="1"/>
  <c r="S46" i="5"/>
  <c r="N46" i="5" s="1"/>
  <c r="M46" i="5" s="1"/>
  <c r="S42" i="5"/>
  <c r="N42" i="5" s="1"/>
  <c r="M42" i="5" s="1"/>
  <c r="S35" i="5"/>
  <c r="N35" i="5" s="1"/>
  <c r="M35" i="5" s="1"/>
  <c r="S31" i="5"/>
  <c r="N31" i="5" s="1"/>
  <c r="M31" i="5" s="1"/>
  <c r="S27" i="5"/>
  <c r="N27" i="5" s="1"/>
  <c r="M27" i="5" s="1"/>
  <c r="S23" i="5"/>
  <c r="N23" i="5" s="1"/>
  <c r="M23" i="5" s="1"/>
  <c r="S19" i="5"/>
  <c r="N19" i="5" s="1"/>
  <c r="M19" i="5" s="1"/>
  <c r="S15" i="5"/>
  <c r="N15" i="5" s="1"/>
  <c r="M15" i="5" s="1"/>
  <c r="S10" i="5"/>
  <c r="N10" i="5" s="1"/>
  <c r="M10" i="5" s="1"/>
  <c r="S7" i="5"/>
  <c r="N7" i="5" s="1"/>
  <c r="M7" i="5" s="1"/>
  <c r="S282" i="5"/>
  <c r="N282" i="5" s="1"/>
  <c r="M282" i="5" s="1"/>
  <c r="S277" i="5"/>
  <c r="N277" i="5" s="1"/>
  <c r="M277" i="5" s="1"/>
  <c r="S272" i="5"/>
  <c r="N272" i="5" s="1"/>
  <c r="M272" i="5" s="1"/>
  <c r="S270" i="5"/>
  <c r="N270" i="5" s="1"/>
  <c r="M270" i="5" s="1"/>
  <c r="S268" i="5"/>
  <c r="N268" i="5" s="1"/>
  <c r="M268" i="5" s="1"/>
  <c r="S265" i="5"/>
  <c r="N265" i="5" s="1"/>
  <c r="M265" i="5" s="1"/>
  <c r="S263" i="5"/>
  <c r="N263" i="5" s="1"/>
  <c r="M263" i="5" s="1"/>
  <c r="S261" i="5"/>
  <c r="N261" i="5" s="1"/>
  <c r="M261" i="5" s="1"/>
  <c r="S259" i="5"/>
  <c r="N259" i="5" s="1"/>
  <c r="M259" i="5" s="1"/>
  <c r="S253" i="5"/>
  <c r="N253" i="5" s="1"/>
  <c r="M253" i="5" s="1"/>
  <c r="S247" i="5"/>
  <c r="N247" i="5" s="1"/>
  <c r="M247" i="5" s="1"/>
  <c r="S238" i="5"/>
  <c r="N238" i="5" s="1"/>
  <c r="M238" i="5" s="1"/>
  <c r="S236" i="5"/>
  <c r="N236" i="5" s="1"/>
  <c r="M236" i="5" s="1"/>
  <c r="S234" i="5"/>
  <c r="N234" i="5" s="1"/>
  <c r="M234" i="5" s="1"/>
  <c r="S232" i="5"/>
  <c r="N232" i="5" s="1"/>
  <c r="M232" i="5" s="1"/>
  <c r="S230" i="5"/>
  <c r="N230" i="5" s="1"/>
  <c r="M230" i="5" s="1"/>
  <c r="S228" i="5"/>
  <c r="N228" i="5" s="1"/>
  <c r="M228" i="5" s="1"/>
  <c r="S226" i="5"/>
  <c r="N226" i="5" s="1"/>
  <c r="M226" i="5" s="1"/>
  <c r="S224" i="5"/>
  <c r="N224" i="5" s="1"/>
  <c r="M224" i="5" s="1"/>
  <c r="S222" i="5"/>
  <c r="N222" i="5" s="1"/>
  <c r="M222" i="5" s="1"/>
  <c r="S220" i="5"/>
  <c r="N220" i="5" s="1"/>
  <c r="M220" i="5" s="1"/>
  <c r="S218" i="5"/>
  <c r="N218" i="5" s="1"/>
  <c r="M218" i="5" s="1"/>
  <c r="S214" i="5"/>
  <c r="N214" i="5" s="1"/>
  <c r="M214" i="5" s="1"/>
  <c r="S212" i="5"/>
  <c r="N212" i="5" s="1"/>
  <c r="M212" i="5" s="1"/>
  <c r="S208" i="5"/>
  <c r="N208" i="5" s="1"/>
  <c r="M208" i="5" s="1"/>
  <c r="S197" i="5"/>
  <c r="N197" i="5" s="1"/>
  <c r="M197" i="5" s="1"/>
  <c r="S194" i="5"/>
  <c r="N194" i="5" s="1"/>
  <c r="M194" i="5" s="1"/>
  <c r="S176" i="5"/>
  <c r="N176" i="5" s="1"/>
  <c r="M176" i="5" s="1"/>
  <c r="S154" i="5"/>
  <c r="N154" i="5" s="1"/>
  <c r="M154" i="5" s="1"/>
  <c r="S143" i="5"/>
  <c r="N143" i="5" s="1"/>
  <c r="M143" i="5" s="1"/>
  <c r="S140" i="5"/>
  <c r="N140" i="5" s="1"/>
  <c r="M140" i="5" s="1"/>
  <c r="S138" i="5"/>
  <c r="N138" i="5" s="1"/>
  <c r="M138" i="5" s="1"/>
  <c r="S135" i="5"/>
  <c r="N135" i="5" s="1"/>
  <c r="M135" i="5" s="1"/>
  <c r="S133" i="5"/>
  <c r="N133" i="5" s="1"/>
  <c r="M133" i="5" s="1"/>
  <c r="S131" i="5"/>
  <c r="N131" i="5" s="1"/>
  <c r="M131" i="5" s="1"/>
  <c r="S129" i="5"/>
  <c r="N129" i="5" s="1"/>
  <c r="M129" i="5" s="1"/>
  <c r="S127" i="5"/>
  <c r="N127" i="5" s="1"/>
  <c r="M127" i="5" s="1"/>
  <c r="S124" i="5"/>
  <c r="N124" i="5" s="1"/>
  <c r="M124" i="5" s="1"/>
  <c r="S111" i="5"/>
  <c r="N111" i="5" s="1"/>
  <c r="M111" i="5" s="1"/>
  <c r="S109" i="5"/>
  <c r="N109" i="5" s="1"/>
  <c r="M109" i="5" s="1"/>
  <c r="S105" i="5"/>
  <c r="N105" i="5" s="1"/>
  <c r="M105" i="5" s="1"/>
  <c r="S102" i="5"/>
  <c r="N102" i="5" s="1"/>
  <c r="M102" i="5" s="1"/>
  <c r="S98" i="5"/>
  <c r="N98" i="5" s="1"/>
  <c r="M98" i="5" s="1"/>
  <c r="S96" i="5"/>
  <c r="N96" i="5" s="1"/>
  <c r="M96" i="5" s="1"/>
  <c r="S94" i="5"/>
  <c r="N94" i="5" s="1"/>
  <c r="M94" i="5" s="1"/>
  <c r="S90" i="5"/>
  <c r="N90" i="5" s="1"/>
  <c r="M90" i="5" s="1"/>
  <c r="S85" i="5"/>
  <c r="N85" i="5" s="1"/>
  <c r="M85" i="5" s="1"/>
  <c r="S82" i="5"/>
  <c r="N82" i="5" s="1"/>
  <c r="M82" i="5" s="1"/>
  <c r="S72" i="5"/>
  <c r="N72" i="5" s="1"/>
  <c r="M72" i="5" s="1"/>
  <c r="S62" i="5"/>
  <c r="N62" i="5" s="1"/>
  <c r="M62" i="5" s="1"/>
  <c r="S255" i="5"/>
  <c r="N255" i="5" s="1"/>
  <c r="M255" i="5" s="1"/>
  <c r="S118" i="5"/>
  <c r="N118" i="5" s="1"/>
  <c r="M118" i="5" s="1"/>
  <c r="S58" i="5"/>
  <c r="S125" i="5"/>
  <c r="N125" i="5" s="1"/>
  <c r="M125" i="5" s="1"/>
  <c r="J42" i="23" s="1"/>
  <c r="S142" i="5"/>
  <c r="S91" i="5"/>
  <c r="N91" i="5" s="1"/>
  <c r="M91" i="5" s="1"/>
  <c r="S114" i="5"/>
  <c r="N114" i="5" s="1"/>
  <c r="M114" i="5" s="1"/>
  <c r="S158" i="5"/>
  <c r="N158" i="5" s="1"/>
  <c r="M158" i="5" s="1"/>
  <c r="S184" i="5"/>
  <c r="N184" i="5" s="1"/>
  <c r="M184" i="5" s="1"/>
  <c r="S199" i="5"/>
  <c r="S80" i="5"/>
  <c r="N80" i="5" s="1"/>
  <c r="M80" i="5" s="1"/>
  <c r="S203" i="5"/>
  <c r="N203" i="5" s="1"/>
  <c r="M203" i="5" s="1"/>
  <c r="S243" i="5"/>
  <c r="N243" i="5" s="1"/>
  <c r="M243" i="5" s="1"/>
  <c r="S144" i="5"/>
  <c r="N144" i="5" s="1"/>
  <c r="M144" i="5" s="1"/>
  <c r="S104" i="5"/>
  <c r="N104" i="5" s="1"/>
  <c r="M104" i="5" s="1"/>
  <c r="S73" i="5"/>
  <c r="N73" i="5" s="1"/>
  <c r="M73" i="5" s="1"/>
  <c r="S189" i="5"/>
  <c r="N189" i="5" s="1"/>
  <c r="M189" i="5" s="1"/>
  <c r="S191" i="5"/>
  <c r="N191" i="5" s="1"/>
  <c r="M191" i="5" s="1"/>
  <c r="S183" i="5"/>
  <c r="N183" i="5" s="1"/>
  <c r="M183" i="5" s="1"/>
  <c r="S160" i="5"/>
  <c r="N160" i="5" s="1"/>
  <c r="M160" i="5" s="1"/>
  <c r="S150" i="5"/>
  <c r="N150" i="5" s="1"/>
  <c r="M150" i="5" s="1"/>
  <c r="S172" i="5"/>
  <c r="N172" i="5" s="1"/>
  <c r="M172" i="5" s="1"/>
  <c r="S169" i="5"/>
  <c r="N169" i="5" s="1"/>
  <c r="M169" i="5" s="1"/>
  <c r="S117" i="5"/>
  <c r="N117" i="5" s="1"/>
  <c r="M117" i="5" s="1"/>
  <c r="S157" i="5"/>
  <c r="N157" i="5" s="1"/>
  <c r="M157" i="5" s="1"/>
  <c r="S145" i="5"/>
  <c r="N145" i="5" s="1"/>
  <c r="M145" i="5" s="1"/>
  <c r="R26" i="23"/>
  <c r="S148" i="5"/>
  <c r="M148" i="5" s="1"/>
  <c r="S120" i="5"/>
  <c r="N120" i="5" s="1"/>
  <c r="M120" i="5" s="1"/>
  <c r="S50" i="5"/>
  <c r="N50" i="5" s="1"/>
  <c r="M50" i="5" s="1"/>
  <c r="S40" i="5"/>
  <c r="N40" i="5" s="1"/>
  <c r="M40" i="5" s="1"/>
  <c r="S122" i="5"/>
  <c r="N122" i="5" s="1"/>
  <c r="M122" i="5" s="1"/>
  <c r="S156" i="5"/>
  <c r="N156" i="5" s="1"/>
  <c r="M156" i="5" s="1"/>
  <c r="S178" i="5"/>
  <c r="N178" i="5" s="1"/>
  <c r="M178" i="5" s="1"/>
  <c r="S166" i="5"/>
  <c r="N166" i="5" s="1"/>
  <c r="M166" i="5" s="1"/>
  <c r="S74" i="5"/>
  <c r="N74" i="5" s="1"/>
  <c r="M74" i="5" s="1"/>
  <c r="S187" i="5"/>
  <c r="N187" i="5" s="1"/>
  <c r="M187" i="5" s="1"/>
  <c r="S185" i="5"/>
  <c r="N185" i="5" s="1"/>
  <c r="M185" i="5" s="1"/>
  <c r="S147" i="5"/>
  <c r="N147" i="5" s="1"/>
  <c r="M147" i="5" s="1"/>
  <c r="S181" i="5"/>
  <c r="N181" i="5" s="1"/>
  <c r="M181" i="5" s="1"/>
  <c r="S177" i="5"/>
  <c r="N177" i="5" s="1"/>
  <c r="M177" i="5" s="1"/>
  <c r="S174" i="5"/>
  <c r="N174" i="5" s="1"/>
  <c r="M174" i="5" s="1"/>
  <c r="S163" i="5"/>
  <c r="N163" i="5" s="1"/>
  <c r="M163" i="5" s="1"/>
  <c r="S179" i="5"/>
  <c r="N179" i="5" s="1"/>
  <c r="M179" i="5" s="1"/>
  <c r="S155" i="5"/>
  <c r="N155" i="5" s="1"/>
  <c r="M155" i="5" s="1"/>
  <c r="S47" i="5"/>
  <c r="N47" i="5" s="1"/>
  <c r="M47" i="5" s="1"/>
  <c r="S36" i="5"/>
  <c r="N36" i="5" s="1"/>
  <c r="M36" i="5" s="1"/>
  <c r="S32" i="5"/>
  <c r="N32" i="5" s="1"/>
  <c r="M32" i="5" s="1"/>
  <c r="S28" i="5"/>
  <c r="N28" i="5" s="1"/>
  <c r="M28" i="5" s="1"/>
  <c r="S24" i="5"/>
  <c r="N24" i="5" s="1"/>
  <c r="M24" i="5" s="1"/>
  <c r="S20" i="5"/>
  <c r="N20" i="5" s="1"/>
  <c r="M20" i="5" s="1"/>
  <c r="S16" i="5"/>
  <c r="N16" i="5" s="1"/>
  <c r="M16" i="5" s="1"/>
  <c r="S12" i="5"/>
  <c r="N12" i="5" s="1"/>
  <c r="M12" i="5" s="1"/>
  <c r="S8" i="5"/>
  <c r="N8" i="5" s="1"/>
  <c r="M8" i="5" s="1"/>
  <c r="S3" i="5"/>
  <c r="N3" i="5" s="1"/>
  <c r="M3" i="5" s="1"/>
  <c r="S278" i="5"/>
  <c r="N278" i="5" s="1"/>
  <c r="M278" i="5" s="1"/>
  <c r="S273" i="5"/>
  <c r="N273" i="5" s="1"/>
  <c r="M273" i="5" s="1"/>
  <c r="S271" i="5"/>
  <c r="N271" i="5" s="1"/>
  <c r="M271" i="5" s="1"/>
  <c r="S269" i="5"/>
  <c r="N269" i="5" s="1"/>
  <c r="M269" i="5" s="1"/>
  <c r="S266" i="5"/>
  <c r="N266" i="5" s="1"/>
  <c r="M266" i="5" s="1"/>
  <c r="S264" i="5"/>
  <c r="N264" i="5" s="1"/>
  <c r="M264" i="5" s="1"/>
  <c r="S262" i="5"/>
  <c r="N262" i="5" s="1"/>
  <c r="M262" i="5" s="1"/>
  <c r="S260" i="5"/>
  <c r="N260" i="5" s="1"/>
  <c r="M260" i="5" s="1"/>
  <c r="S258" i="5"/>
  <c r="N258" i="5" s="1"/>
  <c r="M258" i="5" s="1"/>
  <c r="S252" i="5"/>
  <c r="N252" i="5" s="1"/>
  <c r="M252" i="5" s="1"/>
  <c r="S248" i="5"/>
  <c r="N248" i="5" s="1"/>
  <c r="M248" i="5" s="1"/>
  <c r="S237" i="5"/>
  <c r="N237" i="5" s="1"/>
  <c r="M237" i="5" s="1"/>
  <c r="S233" i="5"/>
  <c r="N233" i="5" s="1"/>
  <c r="M233" i="5" s="1"/>
  <c r="S229" i="5"/>
  <c r="S227" i="5"/>
  <c r="N227" i="5" s="1"/>
  <c r="M227" i="5" s="1"/>
  <c r="S223" i="5"/>
  <c r="N223" i="5" s="1"/>
  <c r="M223" i="5" s="1"/>
  <c r="S219" i="5"/>
  <c r="N219" i="5" s="1"/>
  <c r="M219" i="5" s="1"/>
  <c r="S215" i="5"/>
  <c r="N215" i="5" s="1"/>
  <c r="M215" i="5" s="1"/>
  <c r="S211" i="5"/>
  <c r="N211" i="5" s="1"/>
  <c r="M211" i="5" s="1"/>
  <c r="S209" i="5"/>
  <c r="N209" i="5" s="1"/>
  <c r="M209" i="5" s="1"/>
  <c r="S198" i="5"/>
  <c r="N198" i="5" s="1"/>
  <c r="M198" i="5" s="1"/>
  <c r="S195" i="5"/>
  <c r="N195" i="5" s="1"/>
  <c r="M195" i="5" s="1"/>
  <c r="S159" i="5"/>
  <c r="N159" i="5" s="1"/>
  <c r="M159" i="5" s="1"/>
  <c r="S139" i="5"/>
  <c r="N139" i="5" s="1"/>
  <c r="M139" i="5" s="1"/>
  <c r="S137" i="5"/>
  <c r="N137" i="5" s="1"/>
  <c r="M137" i="5" s="1"/>
  <c r="S132" i="5"/>
  <c r="N132" i="5" s="1"/>
  <c r="M132" i="5" s="1"/>
  <c r="S130" i="5"/>
  <c r="N130" i="5" s="1"/>
  <c r="M130" i="5" s="1"/>
  <c r="S128" i="5"/>
  <c r="N128" i="5" s="1"/>
  <c r="M128" i="5" s="1"/>
  <c r="S126" i="5"/>
  <c r="N126" i="5" s="1"/>
  <c r="M126" i="5" s="1"/>
  <c r="S115" i="5"/>
  <c r="N115" i="5" s="1"/>
  <c r="M115" i="5" s="1"/>
  <c r="S103" i="5"/>
  <c r="N103" i="5" s="1"/>
  <c r="M103" i="5" s="1"/>
  <c r="S101" i="5"/>
  <c r="N101" i="5" s="1"/>
  <c r="M101" i="5" s="1"/>
  <c r="S99" i="5"/>
  <c r="N99" i="5" s="1"/>
  <c r="M99" i="5" s="1"/>
  <c r="S97" i="5"/>
  <c r="N97" i="5" s="1"/>
  <c r="M97" i="5" s="1"/>
  <c r="S89" i="5"/>
  <c r="N89" i="5" s="1"/>
  <c r="M89" i="5" s="1"/>
  <c r="S86" i="5"/>
  <c r="S77" i="5"/>
  <c r="N77" i="5" s="1"/>
  <c r="M77" i="5" s="1"/>
  <c r="S66" i="5"/>
  <c r="N66" i="5" s="1"/>
  <c r="M66" i="5" s="1"/>
  <c r="S192" i="5"/>
  <c r="N192" i="5" s="1"/>
  <c r="M192" i="5" s="1"/>
  <c r="S276" i="5"/>
  <c r="N276" i="5" s="1"/>
  <c r="M276" i="5" s="1"/>
  <c r="S200" i="5"/>
  <c r="S167" i="5"/>
  <c r="N167" i="5" s="1"/>
  <c r="M167" i="5" s="1"/>
  <c r="S93" i="5"/>
  <c r="N93" i="5" s="1"/>
  <c r="M93" i="5" s="1"/>
  <c r="S75" i="5"/>
  <c r="N75" i="5" s="1"/>
  <c r="M75" i="5" s="1"/>
  <c r="S274" i="5"/>
  <c r="N274" i="5" s="1"/>
  <c r="M274" i="5" s="1"/>
  <c r="S146" i="5"/>
  <c r="N146" i="5" s="1"/>
  <c r="M146" i="5" s="1"/>
  <c r="S64" i="5"/>
  <c r="N64" i="5" s="1"/>
  <c r="M64" i="5" s="1"/>
  <c r="S55" i="5"/>
  <c r="N55" i="5" s="1"/>
  <c r="M55" i="5" s="1"/>
  <c r="S123" i="5"/>
  <c r="N123" i="5" s="1"/>
  <c r="M123" i="5" s="1"/>
  <c r="J12" i="23" s="1"/>
  <c r="S69" i="5"/>
  <c r="N69" i="5" s="1"/>
  <c r="M69" i="5" s="1"/>
  <c r="S280" i="5"/>
  <c r="N280" i="5" s="1"/>
  <c r="M280" i="5" s="1"/>
  <c r="S52" i="5"/>
  <c r="N52" i="5" s="1"/>
  <c r="M52" i="5" s="1"/>
  <c r="Q35" i="24"/>
  <c r="R27" i="24"/>
  <c r="R23" i="24"/>
  <c r="N25" i="24"/>
  <c r="K40" i="23"/>
  <c r="M40" i="23" s="1"/>
  <c r="K16" i="23"/>
  <c r="M16" i="23" s="1"/>
  <c r="K50" i="23" s="1"/>
  <c r="L50" i="23" s="1"/>
  <c r="K33" i="23"/>
  <c r="M33" i="23" s="1"/>
  <c r="O31" i="23"/>
  <c r="S27" i="23"/>
  <c r="K25" i="23"/>
  <c r="M25" i="23" s="1"/>
  <c r="K11" i="23"/>
  <c r="K34" i="23"/>
  <c r="M34" i="23" s="1"/>
  <c r="K26" i="23"/>
  <c r="M26" i="23" s="1"/>
  <c r="R20" i="23"/>
  <c r="R51" i="23" s="1"/>
  <c r="N26" i="24"/>
  <c r="N40" i="23"/>
  <c r="K39" i="23"/>
  <c r="M39" i="23" s="1"/>
  <c r="S20" i="23"/>
  <c r="S51" i="23" s="1"/>
  <c r="S3" i="24"/>
  <c r="P3" i="24"/>
  <c r="O3" i="24"/>
  <c r="R3" i="24"/>
  <c r="N3" i="24"/>
  <c r="M3" i="24"/>
  <c r="T3" i="24"/>
  <c r="Q3" i="24"/>
  <c r="T5" i="24"/>
  <c r="N5" i="24"/>
  <c r="Q5" i="24"/>
  <c r="M5" i="24"/>
  <c r="S5" i="24"/>
  <c r="R5" i="24"/>
  <c r="P5" i="24"/>
  <c r="O5" i="24"/>
  <c r="N11" i="24"/>
  <c r="L7" i="24"/>
  <c r="N35" i="24"/>
  <c r="R35" i="24"/>
  <c r="Q26" i="24"/>
  <c r="R10" i="24"/>
  <c r="S38" i="24"/>
  <c r="P37" i="24"/>
  <c r="S30" i="24"/>
  <c r="P29" i="24"/>
  <c r="Q24" i="24"/>
  <c r="P21" i="24"/>
  <c r="N22" i="24"/>
  <c r="S11" i="24"/>
  <c r="S35" i="24"/>
  <c r="S27" i="24"/>
  <c r="N27" i="24"/>
  <c r="N12" i="24"/>
  <c r="L41" i="24"/>
  <c r="O26" i="24"/>
  <c r="Q48" i="24"/>
  <c r="Q27" i="24"/>
  <c r="S25" i="24"/>
  <c r="S4" i="24"/>
  <c r="P27" i="24"/>
  <c r="S39" i="24"/>
  <c r="P38" i="24"/>
  <c r="K35" i="24"/>
  <c r="M35" i="24" s="1"/>
  <c r="Q33" i="24"/>
  <c r="S31" i="24"/>
  <c r="P30" i="24"/>
  <c r="Q25" i="24"/>
  <c r="S23" i="24"/>
  <c r="P22" i="24"/>
  <c r="N31" i="24"/>
  <c r="Q38" i="24"/>
  <c r="P35" i="24"/>
  <c r="R33" i="24"/>
  <c r="Q30" i="24"/>
  <c r="R25" i="24"/>
  <c r="Q22" i="24"/>
  <c r="P33" i="24"/>
  <c r="R39" i="24"/>
  <c r="O38" i="24"/>
  <c r="Q36" i="24"/>
  <c r="R31" i="24"/>
  <c r="O30" i="24"/>
  <c r="Q28" i="24"/>
  <c r="S26" i="24"/>
  <c r="P25" i="24"/>
  <c r="O22" i="24"/>
  <c r="N36" i="24"/>
  <c r="N30" i="24"/>
  <c r="K33" i="24"/>
  <c r="M33" i="24" s="1"/>
  <c r="K27" i="24"/>
  <c r="M27" i="24" s="1"/>
  <c r="K37" i="24"/>
  <c r="M37" i="24" s="1"/>
  <c r="O35" i="24"/>
  <c r="K29" i="24"/>
  <c r="M29" i="24" s="1"/>
  <c r="K39" i="24"/>
  <c r="M39" i="24" s="1"/>
  <c r="O27" i="24"/>
  <c r="K26" i="24"/>
  <c r="M26" i="24" s="1"/>
  <c r="K10" i="24"/>
  <c r="O33" i="24"/>
  <c r="K21" i="24"/>
  <c r="M21" i="24" s="1"/>
  <c r="K23" i="24"/>
  <c r="M23" i="24" s="1"/>
  <c r="K31" i="24"/>
  <c r="M31" i="24" s="1"/>
  <c r="K16" i="24"/>
  <c r="M16" i="24" s="1"/>
  <c r="K47" i="24" s="1"/>
  <c r="L47" i="24" s="1"/>
  <c r="K9" i="24"/>
  <c r="K25" i="24"/>
  <c r="M25" i="24" s="1"/>
  <c r="K12" i="24"/>
  <c r="O25" i="24"/>
  <c r="N39" i="24"/>
  <c r="K20" i="24"/>
  <c r="M20" i="24" s="1"/>
  <c r="K38" i="24"/>
  <c r="M38" i="24" s="1"/>
  <c r="K30" i="24"/>
  <c r="M30" i="24" s="1"/>
  <c r="K22" i="24"/>
  <c r="M22" i="24" s="1"/>
  <c r="K36" i="24"/>
  <c r="M36" i="24" s="1"/>
  <c r="K32" i="24"/>
  <c r="M32" i="24" s="1"/>
  <c r="K28" i="24"/>
  <c r="M28" i="24" s="1"/>
  <c r="K24" i="24"/>
  <c r="M24" i="24" s="1"/>
  <c r="H73" i="23"/>
  <c r="H74" i="23" s="1"/>
  <c r="R34" i="23"/>
  <c r="Q20" i="23"/>
  <c r="Q51" i="23" s="1"/>
  <c r="S34" i="23"/>
  <c r="P30" i="23"/>
  <c r="K18" i="23"/>
  <c r="M18" i="23" s="1"/>
  <c r="O30" i="23"/>
  <c r="N34" i="23"/>
  <c r="K58" i="23"/>
  <c r="Q39" i="23"/>
  <c r="P22" i="23"/>
  <c r="N18" i="23"/>
  <c r="N20" i="23" s="1"/>
  <c r="N51" i="23" s="1"/>
  <c r="N41" i="23"/>
  <c r="P35" i="23"/>
  <c r="R29" i="23"/>
  <c r="E73" i="23"/>
  <c r="L44" i="23"/>
  <c r="K23" i="23"/>
  <c r="M23" i="23" s="1"/>
  <c r="K24" i="23"/>
  <c r="M24" i="23" s="1"/>
  <c r="Q34" i="23"/>
  <c r="K37" i="23"/>
  <c r="M37" i="23" s="1"/>
  <c r="N23" i="23"/>
  <c r="K27" i="23"/>
  <c r="M27" i="23" s="1"/>
  <c r="K9" i="23"/>
  <c r="K42" i="23"/>
  <c r="M42" i="23" s="1"/>
  <c r="P42" i="23"/>
  <c r="K28" i="23"/>
  <c r="M28" i="23" s="1"/>
  <c r="N28" i="23"/>
  <c r="N25" i="23"/>
  <c r="P25" i="23"/>
  <c r="O25" i="23"/>
  <c r="R25" i="23"/>
  <c r="K29" i="23"/>
  <c r="M29" i="23" s="1"/>
  <c r="N29" i="23"/>
  <c r="Q38" i="23"/>
  <c r="R38" i="23"/>
  <c r="O38" i="23"/>
  <c r="O32" i="23"/>
  <c r="Q32" i="23"/>
  <c r="K19" i="23"/>
  <c r="M19" i="23" s="1"/>
  <c r="P20" i="23"/>
  <c r="P51" i="23" s="1"/>
  <c r="S39" i="23"/>
  <c r="K38" i="23"/>
  <c r="M38" i="23" s="1"/>
  <c r="R37" i="23"/>
  <c r="O37" i="23"/>
  <c r="S33" i="23"/>
  <c r="K32" i="23"/>
  <c r="M32" i="23" s="1"/>
  <c r="R31" i="23"/>
  <c r="Q31" i="23"/>
  <c r="K10" i="23"/>
  <c r="K5" i="23"/>
  <c r="K2" i="23"/>
  <c r="R39" i="23"/>
  <c r="P39" i="23"/>
  <c r="N39" i="23"/>
  <c r="O39" i="23"/>
  <c r="N33" i="23"/>
  <c r="O33" i="23"/>
  <c r="Q33" i="23"/>
  <c r="N31" i="23"/>
  <c r="K31" i="23"/>
  <c r="M31" i="23" s="1"/>
  <c r="N30" i="23"/>
  <c r="K30" i="23"/>
  <c r="M30" i="23" s="1"/>
  <c r="A45" i="23"/>
  <c r="C608" i="1" s="1"/>
  <c r="R33" i="23"/>
  <c r="P38" i="23"/>
  <c r="K22" i="23"/>
  <c r="M22" i="23" s="1"/>
  <c r="K4" i="23"/>
  <c r="S38" i="23"/>
  <c r="S32" i="23"/>
  <c r="R30" i="23"/>
  <c r="Q30" i="23"/>
  <c r="O24" i="23"/>
  <c r="R24" i="23"/>
  <c r="K41" i="23"/>
  <c r="M41" i="23" s="1"/>
  <c r="Q41" i="23"/>
  <c r="R32" i="23"/>
  <c r="S31" i="23"/>
  <c r="P24" i="23"/>
  <c r="O20" i="23"/>
  <c r="O51" i="23" s="1"/>
  <c r="Q37" i="23"/>
  <c r="S30" i="23"/>
  <c r="S24" i="23"/>
  <c r="Q22" i="23"/>
  <c r="R22" i="23"/>
  <c r="K12" i="23"/>
  <c r="P37" i="23"/>
  <c r="S23" i="23"/>
  <c r="G73" i="23"/>
  <c r="K35" i="23"/>
  <c r="M35" i="23" s="1"/>
  <c r="Q29" i="23"/>
  <c r="S22" i="23"/>
  <c r="J21" i="24" l="1"/>
  <c r="T21" i="24" s="1"/>
  <c r="J23" i="23"/>
  <c r="J35" i="23"/>
  <c r="J33" i="24"/>
  <c r="J31" i="24"/>
  <c r="J33" i="23"/>
  <c r="J22" i="23"/>
  <c r="T22" i="23" s="1"/>
  <c r="J20" i="24"/>
  <c r="T20" i="24" s="1"/>
  <c r="J23" i="24"/>
  <c r="J25" i="23"/>
  <c r="J36" i="23"/>
  <c r="J34" i="24"/>
  <c r="J24" i="23"/>
  <c r="T24" i="23" s="1"/>
  <c r="J22" i="24"/>
  <c r="B155" i="4"/>
  <c r="G155" i="4" s="1"/>
  <c r="B234" i="4"/>
  <c r="G234" i="4" s="1"/>
  <c r="T30" i="23"/>
  <c r="T28" i="24"/>
  <c r="T2" i="24"/>
  <c r="T32" i="23"/>
  <c r="T30" i="24"/>
  <c r="T23" i="24"/>
  <c r="T25" i="23"/>
  <c r="T34" i="23"/>
  <c r="T32" i="24"/>
  <c r="T27" i="23"/>
  <c r="T25" i="24"/>
  <c r="T31" i="23"/>
  <c r="T29" i="24"/>
  <c r="O10" i="24"/>
  <c r="Q2" i="24"/>
  <c r="T40" i="23"/>
  <c r="T38" i="24"/>
  <c r="M12" i="24"/>
  <c r="N2" i="24"/>
  <c r="N7" i="24" s="1"/>
  <c r="T26" i="23"/>
  <c r="T24" i="24"/>
  <c r="T35" i="23"/>
  <c r="T33" i="24"/>
  <c r="T39" i="23"/>
  <c r="T37" i="24"/>
  <c r="T39" i="24"/>
  <c r="T41" i="23"/>
  <c r="T27" i="24"/>
  <c r="T29" i="23"/>
  <c r="P11" i="24"/>
  <c r="Q10" i="24"/>
  <c r="Q11" i="24"/>
  <c r="T38" i="23"/>
  <c r="T36" i="24"/>
  <c r="T23" i="23"/>
  <c r="T31" i="24"/>
  <c r="T33" i="23"/>
  <c r="T22" i="24"/>
  <c r="R2" i="24"/>
  <c r="R7" i="24" s="1"/>
  <c r="K201" i="5" s="1"/>
  <c r="T28" i="23"/>
  <c r="T26" i="24"/>
  <c r="T37" i="23"/>
  <c r="T35" i="24"/>
  <c r="T18" i="23"/>
  <c r="T11" i="24"/>
  <c r="T16" i="24"/>
  <c r="T47" i="24" s="1"/>
  <c r="T42" i="23"/>
  <c r="T9" i="24"/>
  <c r="P10" i="24"/>
  <c r="Q12" i="24"/>
  <c r="K61" i="23"/>
  <c r="K66" i="23" s="1"/>
  <c r="L66" i="23" s="1"/>
  <c r="L3" i="23" s="1"/>
  <c r="S9" i="24"/>
  <c r="R12" i="24"/>
  <c r="S10" i="24"/>
  <c r="S12" i="24"/>
  <c r="O12" i="24"/>
  <c r="N9" i="24"/>
  <c r="N14" i="24" s="1"/>
  <c r="G207" i="5" s="1"/>
  <c r="M10" i="24"/>
  <c r="R9" i="24"/>
  <c r="M9" i="24"/>
  <c r="T10" i="24"/>
  <c r="K11" i="24"/>
  <c r="M11" i="24" s="1"/>
  <c r="X5" i="24"/>
  <c r="C531" i="1" s="1"/>
  <c r="B216" i="4" s="1"/>
  <c r="G216" i="4" s="1"/>
  <c r="L14" i="24"/>
  <c r="P2" i="24"/>
  <c r="P7" i="24" s="1"/>
  <c r="P45" i="24" s="1"/>
  <c r="T7" i="24"/>
  <c r="M201" i="5" s="1"/>
  <c r="O2" i="24"/>
  <c r="O7" i="24" s="1"/>
  <c r="H201" i="5" s="1"/>
  <c r="S2" i="24"/>
  <c r="S7" i="24" s="1"/>
  <c r="S45" i="24" s="1"/>
  <c r="G74" i="23"/>
  <c r="Q9" i="24"/>
  <c r="O9" i="24"/>
  <c r="F74" i="23"/>
  <c r="N74" i="23" s="1"/>
  <c r="L11" i="23" s="1"/>
  <c r="P11" i="23" s="1"/>
  <c r="O11" i="24"/>
  <c r="T12" i="24"/>
  <c r="T19" i="23"/>
  <c r="T16" i="23"/>
  <c r="T50" i="23" s="1"/>
  <c r="A40" i="29"/>
  <c r="M202" i="5"/>
  <c r="L201" i="5"/>
  <c r="Q7" i="24"/>
  <c r="M7" i="24"/>
  <c r="K45" i="24" s="1"/>
  <c r="L45" i="24" s="1"/>
  <c r="N11" i="23"/>
  <c r="M20" i="23"/>
  <c r="K51" i="23" s="1"/>
  <c r="L51" i="23" s="1"/>
  <c r="D74" i="23"/>
  <c r="L74" i="23" s="1"/>
  <c r="L9" i="23" s="1"/>
  <c r="E74" i="23"/>
  <c r="O74" i="23" s="1"/>
  <c r="L12" i="23" s="1"/>
  <c r="C74" i="23"/>
  <c r="M74" i="23" s="1"/>
  <c r="L10" i="23" s="1"/>
  <c r="M10" i="23" s="1"/>
  <c r="T20" i="23" l="1"/>
  <c r="T51" i="23" s="1"/>
  <c r="P14" i="24"/>
  <c r="P46" i="24" s="1"/>
  <c r="K63" i="23"/>
  <c r="L63" i="23" s="1"/>
  <c r="L5" i="23" s="1"/>
  <c r="P5" i="23" s="1"/>
  <c r="Q11" i="23"/>
  <c r="K65" i="23"/>
  <c r="L65" i="23" s="1"/>
  <c r="L2" i="23" s="1"/>
  <c r="P2" i="23" s="1"/>
  <c r="K64" i="23"/>
  <c r="L64" i="23" s="1"/>
  <c r="L4" i="23" s="1"/>
  <c r="Q14" i="24"/>
  <c r="Q46" i="24" s="1"/>
  <c r="S14" i="24"/>
  <c r="L206" i="5" s="1"/>
  <c r="R14" i="24"/>
  <c r="K207" i="5" s="1"/>
  <c r="H202" i="5"/>
  <c r="M14" i="24"/>
  <c r="K46" i="24" s="1"/>
  <c r="L46" i="24" s="1"/>
  <c r="T14" i="24"/>
  <c r="M206" i="5" s="1"/>
  <c r="L202" i="5"/>
  <c r="G206" i="5"/>
  <c r="K202" i="5"/>
  <c r="T11" i="23"/>
  <c r="T45" i="24"/>
  <c r="I202" i="5"/>
  <c r="M11" i="23"/>
  <c r="R45" i="24"/>
  <c r="O14" i="24"/>
  <c r="O46" i="24" s="1"/>
  <c r="O45" i="24"/>
  <c r="R11" i="23"/>
  <c r="S11" i="23"/>
  <c r="O11" i="23"/>
  <c r="I201" i="5"/>
  <c r="U14" i="23"/>
  <c r="C610" i="1" s="1"/>
  <c r="B235" i="4" s="1"/>
  <c r="G235" i="4" s="1"/>
  <c r="N46" i="24"/>
  <c r="I207" i="5"/>
  <c r="J202" i="5"/>
  <c r="Q45" i="24"/>
  <c r="J201" i="5"/>
  <c r="G202" i="5"/>
  <c r="N45" i="24"/>
  <c r="G201" i="5"/>
  <c r="P10" i="23"/>
  <c r="Q10" i="23"/>
  <c r="O10" i="23"/>
  <c r="T10" i="23"/>
  <c r="N10" i="23"/>
  <c r="S10" i="23"/>
  <c r="R10" i="23"/>
  <c r="Q12" i="23"/>
  <c r="R12" i="23"/>
  <c r="T12" i="23"/>
  <c r="O12" i="23"/>
  <c r="S12" i="23"/>
  <c r="N12" i="23"/>
  <c r="P12" i="23"/>
  <c r="Q9" i="23"/>
  <c r="O9" i="23"/>
  <c r="T9" i="23"/>
  <c r="L14" i="23"/>
  <c r="S9" i="23"/>
  <c r="R9" i="23"/>
  <c r="N9" i="23"/>
  <c r="P9" i="23"/>
  <c r="M9" i="23"/>
  <c r="M12" i="23"/>
  <c r="N4" i="23"/>
  <c r="Q4" i="23"/>
  <c r="T4" i="23"/>
  <c r="P4" i="23"/>
  <c r="R4" i="23"/>
  <c r="S4" i="23"/>
  <c r="O4" i="23"/>
  <c r="M4" i="23"/>
  <c r="N5" i="23"/>
  <c r="O5" i="23"/>
  <c r="S5" i="23"/>
  <c r="N2" i="23"/>
  <c r="I206" i="5" l="1"/>
  <c r="S2" i="23"/>
  <c r="L7" i="23"/>
  <c r="Q5" i="23"/>
  <c r="Q2" i="23"/>
  <c r="T2" i="23"/>
  <c r="R5" i="23"/>
  <c r="U7" i="23"/>
  <c r="C612" i="1" s="1"/>
  <c r="B236" i="4" s="1"/>
  <c r="G236" i="4" s="1"/>
  <c r="R2" i="23"/>
  <c r="T5" i="23"/>
  <c r="M2" i="23"/>
  <c r="O2" i="23"/>
  <c r="M5" i="23"/>
  <c r="L207" i="5"/>
  <c r="S46" i="24"/>
  <c r="J207" i="5"/>
  <c r="J206" i="5"/>
  <c r="K206" i="5"/>
  <c r="H206" i="5"/>
  <c r="H207" i="5"/>
  <c r="R46" i="24"/>
  <c r="T46" i="24"/>
  <c r="M207" i="5"/>
  <c r="N14" i="23"/>
  <c r="G257" i="5" s="1"/>
  <c r="P14" i="23"/>
  <c r="P49" i="23" s="1"/>
  <c r="M14" i="23"/>
  <c r="K49" i="23" s="1"/>
  <c r="L49" i="23" s="1"/>
  <c r="O14" i="23"/>
  <c r="O49" i="23" s="1"/>
  <c r="Q14" i="23"/>
  <c r="R14" i="23"/>
  <c r="S14" i="23"/>
  <c r="T14" i="23"/>
  <c r="N206" i="5" l="1"/>
  <c r="N207" i="5"/>
  <c r="N49" i="23"/>
  <c r="I257" i="5"/>
  <c r="H257" i="5"/>
  <c r="O257" i="5" s="1"/>
  <c r="T49" i="23"/>
  <c r="M257" i="5"/>
  <c r="K257" i="5"/>
  <c r="R49" i="23"/>
  <c r="Q49" i="23"/>
  <c r="J257" i="5"/>
  <c r="L257" i="5"/>
  <c r="S49" i="23"/>
  <c r="N257" i="5" l="1"/>
  <c r="T18" i="24"/>
  <c r="K18" i="24"/>
  <c r="M18" i="24" s="1"/>
  <c r="K48" i="24" s="1"/>
  <c r="L48" i="24" s="1"/>
  <c r="N58" i="5"/>
  <c r="N18" i="24"/>
  <c r="T48" i="24" l="1"/>
  <c r="N48" i="24"/>
  <c r="N59" i="5"/>
  <c r="N34" i="24"/>
  <c r="N41" i="24" s="1"/>
  <c r="G205" i="5" s="1"/>
  <c r="G204" i="5" l="1"/>
  <c r="N49" i="24"/>
  <c r="P34" i="24"/>
  <c r="P41" i="24" s="1"/>
  <c r="R34" i="24"/>
  <c r="R41" i="24" s="1"/>
  <c r="T34" i="24"/>
  <c r="T41" i="24" s="1"/>
  <c r="T49" i="24" s="1"/>
  <c r="S34" i="24"/>
  <c r="S41" i="24" s="1"/>
  <c r="O34" i="24"/>
  <c r="O41" i="24"/>
  <c r="O49" i="24" s="1"/>
  <c r="Q34" i="24"/>
  <c r="Q41" i="24" s="1"/>
  <c r="Q49" i="24" s="1"/>
  <c r="K34" i="24"/>
  <c r="M34" i="24" s="1"/>
  <c r="M41" i="24" s="1"/>
  <c r="K49" i="24" s="1"/>
  <c r="L49" i="24" s="1"/>
  <c r="H204" i="5" l="1"/>
  <c r="H205" i="5"/>
  <c r="N50" i="24"/>
  <c r="O50" i="24"/>
  <c r="T50" i="24"/>
  <c r="Q50" i="24"/>
  <c r="T57" i="24"/>
  <c r="C689" i="1" s="1"/>
  <c r="J205" i="5"/>
  <c r="J204" i="5"/>
  <c r="R49" i="24"/>
  <c r="R50" i="24" s="1"/>
  <c r="K204" i="5"/>
  <c r="K205" i="5"/>
  <c r="I204" i="5"/>
  <c r="P49" i="24"/>
  <c r="P50" i="24" s="1"/>
  <c r="I205" i="5"/>
  <c r="L205" i="5"/>
  <c r="L204" i="5"/>
  <c r="S49" i="24"/>
  <c r="S50" i="24" s="1"/>
  <c r="M204" i="5"/>
  <c r="M205" i="5"/>
  <c r="B289" i="4" l="1"/>
  <c r="G289" i="4" s="1"/>
  <c r="N204" i="5"/>
  <c r="J200" i="5"/>
  <c r="J199" i="5"/>
  <c r="L200" i="5"/>
  <c r="L199" i="5"/>
  <c r="K200" i="5"/>
  <c r="K199" i="5"/>
  <c r="G200" i="5"/>
  <c r="G199" i="5"/>
  <c r="N51" i="24"/>
  <c r="N205" i="5"/>
  <c r="I200" i="5"/>
  <c r="I199" i="5"/>
  <c r="M199" i="5"/>
  <c r="M200" i="5"/>
  <c r="H200" i="5"/>
  <c r="H199" i="5"/>
  <c r="N199" i="5" l="1"/>
  <c r="N200" i="5"/>
  <c r="N3" i="23"/>
  <c r="N7" i="23" s="1"/>
  <c r="N48" i="23" l="1"/>
  <c r="G86" i="5"/>
  <c r="P3" i="23"/>
  <c r="P7" i="23" s="1"/>
  <c r="T3" i="23"/>
  <c r="T7" i="23" s="1"/>
  <c r="R3" i="23"/>
  <c r="R7" i="23"/>
  <c r="K86" i="5" s="1"/>
  <c r="K3" i="23"/>
  <c r="M3" i="23" s="1"/>
  <c r="M7" i="23" s="1"/>
  <c r="K48" i="23" s="1"/>
  <c r="L48" i="23" s="1"/>
  <c r="S3" i="23"/>
  <c r="S7" i="23" s="1"/>
  <c r="Q3" i="23"/>
  <c r="Q7" i="23" s="1"/>
  <c r="O3" i="23"/>
  <c r="O7" i="23" s="1"/>
  <c r="Q48" i="23" l="1"/>
  <c r="J86" i="5"/>
  <c r="R48" i="23"/>
  <c r="O48" i="23"/>
  <c r="H86" i="5"/>
  <c r="O86" i="5" s="1"/>
  <c r="L86" i="5"/>
  <c r="S48" i="23"/>
  <c r="T48" i="23"/>
  <c r="M86" i="5"/>
  <c r="P48" i="23"/>
  <c r="I86" i="5"/>
  <c r="N86" i="5" l="1"/>
  <c r="N36" i="23"/>
  <c r="N44" i="23"/>
  <c r="N52" i="23" s="1"/>
  <c r="G229" i="5" l="1"/>
  <c r="Q36" i="23"/>
  <c r="Q44" i="23" s="1"/>
  <c r="Q52" i="23" s="1"/>
  <c r="J229" i="5" s="1"/>
  <c r="K36" i="23"/>
  <c r="M36" i="23" s="1"/>
  <c r="M44" i="23" s="1"/>
  <c r="K52" i="23" s="1"/>
  <c r="L52" i="23" s="1"/>
  <c r="T36" i="23"/>
  <c r="T44" i="23" s="1"/>
  <c r="M229" i="5" s="1"/>
  <c r="R36" i="23"/>
  <c r="R44" i="23"/>
  <c r="R52" i="23" s="1"/>
  <c r="S36" i="23"/>
  <c r="S44" i="23" s="1"/>
  <c r="S52" i="23" s="1"/>
  <c r="P36" i="23"/>
  <c r="P44" i="23" s="1"/>
  <c r="P52" i="23" s="1"/>
  <c r="O36" i="23"/>
  <c r="O44" i="23"/>
  <c r="O52" i="23" s="1"/>
  <c r="H229" i="5" s="1"/>
  <c r="T52" i="23" l="1"/>
  <c r="I229" i="5"/>
  <c r="P53" i="23"/>
  <c r="L229" i="5"/>
  <c r="S53" i="23"/>
  <c r="R53" i="23"/>
  <c r="O53" i="23"/>
  <c r="Q53" i="23"/>
  <c r="T53" i="23"/>
  <c r="Q56" i="23"/>
  <c r="C614" i="1" s="1"/>
  <c r="B237" i="4" s="1"/>
  <c r="G237" i="4" s="1"/>
  <c r="N53" i="23"/>
  <c r="K229" i="5"/>
  <c r="O229" i="5" s="1"/>
  <c r="N229" i="5" l="1"/>
  <c r="G141" i="5"/>
  <c r="V53" i="23"/>
  <c r="N58" i="23"/>
  <c r="T46" i="23"/>
  <c r="G142" i="5"/>
  <c r="K142" i="5"/>
  <c r="R58" i="23"/>
  <c r="K141" i="5"/>
  <c r="P58" i="23"/>
  <c r="I142" i="5"/>
  <c r="I141" i="5"/>
  <c r="M141" i="5"/>
  <c r="M142" i="5"/>
  <c r="Q58" i="23"/>
  <c r="J141" i="5"/>
  <c r="J142" i="5"/>
  <c r="H141" i="5"/>
  <c r="H142" i="5"/>
  <c r="O58" i="23"/>
  <c r="L141" i="5"/>
  <c r="L142" i="5"/>
  <c r="S58" i="23"/>
  <c r="A38" i="29"/>
  <c r="A36" i="29"/>
  <c r="A6" i="29"/>
  <c r="O142" i="5" l="1"/>
  <c r="O141" i="5"/>
  <c r="N142" i="5"/>
  <c r="T58" i="23"/>
  <c r="R60" i="23" s="1"/>
  <c r="N141" i="5"/>
  <c r="P60" i="23" l="1"/>
  <c r="N60" i="23"/>
  <c r="Q60" i="23"/>
  <c r="S60" i="23"/>
  <c r="O60" i="23"/>
</calcChain>
</file>

<file path=xl/sharedStrings.xml><?xml version="1.0" encoding="utf-8"?>
<sst xmlns="http://schemas.openxmlformats.org/spreadsheetml/2006/main" count="5219" uniqueCount="2648">
  <si>
    <t>Reaction</t>
  </si>
  <si>
    <t>Name</t>
  </si>
  <si>
    <t>Reversible</t>
  </si>
  <si>
    <t>Locus</t>
  </si>
  <si>
    <t>Protein</t>
  </si>
  <si>
    <t>Gene</t>
  </si>
  <si>
    <t>Gene Object ID</t>
  </si>
  <si>
    <t xml:space="preserve">1 L-Glutamate + 1 Pyruvate = 1 2-Oxoglutarate + 1 L-Alanine </t>
  </si>
  <si>
    <t xml:space="preserve">1 L-Glutamate + 1 Oxaloacetate = 1 2-Oxoglutarate + 1 L-Aspartate </t>
  </si>
  <si>
    <t xml:space="preserve">1 L-Argininosuccinate = 1 Fumarate + 1 L-Arginine </t>
  </si>
  <si>
    <t xml:space="preserve">1 ATP + 1 Citrulline + 1 L-Aspartate = 1 AMP + 1 L-Argininosuccinate + 1 PPi + 1 Proton </t>
  </si>
  <si>
    <t xml:space="preserve">1 ATP + 1 CO2 + 1 NH3 = 1 ADP + 1 Carbamoylphosphate + 1 Proton </t>
  </si>
  <si>
    <t xml:space="preserve">1 L-Glutamate + 1 NADH + 2 Proton = 1 H2O + 1 L-Glutamate5-semialdehyde + 1 NAD </t>
  </si>
  <si>
    <t xml:space="preserve">1 1-Pyrroline-5-carboxylate + 1 NADPH + 2 Proton = 1 L-Proline + 1 NADP </t>
  </si>
  <si>
    <t xml:space="preserve">1 Carbamoylphosphate + 1 Ornithine = 1 Citrulline + 1 Phosphate + 1 Proton </t>
  </si>
  <si>
    <t xml:space="preserve">1 L-Glutamate5-semialdehyde = 1 1-Pyrroline-5-carboxylate + 1 H2O + 1 Proton </t>
  </si>
  <si>
    <t xml:space="preserve">2 ATP + 2 H2O + 1 L-Aspartate + 1 L-Glutamine = 1 ADP + 1 AMP + 1 L-Asparagine + 1 L-Glutamate + 1 Phosphate + 1 PPi + 2 Proton </t>
  </si>
  <si>
    <t xml:space="preserve">1 10-Formyltetrahydrofolate + 1 H2O = 1 formate + 1 Proton + 1 tetrahydrofolate_B9 </t>
  </si>
  <si>
    <t xml:space="preserve">1 Glycine + 1 NAD + 1 tetrahydrofolate_B9 = 1 5-10-Methylenetetrahydrofolate + 1 CO2 + 1 NADH + 1 NH3 + 1 Proton </t>
  </si>
  <si>
    <t xml:space="preserve">1 methenyl-THF + 1 NADH = 1 5-10-Methylenetetrahydrofolate + 1 NAD </t>
  </si>
  <si>
    <t xml:space="preserve">1 H2O + 1 methenyl-THF = 1 10-Formyltetrahydrofolate + 1 Proton </t>
  </si>
  <si>
    <t xml:space="preserve">1 L-Threonine = 1 2-Oxobutyrate + 1 NH3 + 1 Proton </t>
  </si>
  <si>
    <t xml:space="preserve">1 4MOP + 1 NADH + 1 NH3 + 2 Proton = 1 H2O + 1 L-Leucine + 1 NAD </t>
  </si>
  <si>
    <t xml:space="preserve">1 3-Methyl-2-oxobutanoate + 1 Acetyl-CoA + 1 H2O = 1 2-Isopropylmalate + 1 CoA + 1 Proton </t>
  </si>
  <si>
    <t xml:space="preserve">1 3-Methyl-2-oxobutanoate + 1 NADH + 1 NH3 + 2 Proton = 1 H2O + 1 L-Valine + 1 NAD </t>
  </si>
  <si>
    <t xml:space="preserve">1 2-isopropyl-3-oxosuccinate + 1 Proton = 1 4MOP + 1 CO2 </t>
  </si>
  <si>
    <t xml:space="preserve">1 3MOP + 1 NADH + 1 NH3 + 2 Proton = 1 H2O + 1 L-Isoleucine + 1 NAD </t>
  </si>
  <si>
    <t xml:space="preserve">1 2-Hydroxyethyl-ThPP + 1 2-Oxobutyrate = 1 2-Aceto-2-hydroxybutanoate + 1 TPP </t>
  </si>
  <si>
    <t xml:space="preserve">1 2-Isopropylmalate = 1 2-Isopropylmaleate + 1 H2O </t>
  </si>
  <si>
    <t xml:space="preserve">1 2-Isopropylmaleate + 1 H2O = 1 3-Isopropylmalate </t>
  </si>
  <si>
    <t xml:space="preserve">1 3-Isopropylmalate + 1 NAD = 1 2-isopropyl-3-oxosuccinate + 1 NADH + 1 Proton </t>
  </si>
  <si>
    <t xml:space="preserve">1 2_3-Dihydroxy-isovalerate = 1 3-Methyl-2-oxobutanoate + 1 H2O </t>
  </si>
  <si>
    <t xml:space="preserve">1 2-Hydroxyethyl-ThPP + 1 Pyruvate = 1 ALCTT + 1 TPP </t>
  </si>
  <si>
    <t xml:space="preserve">1 2-Aceto-2-hydroxybutanoate + 1 NADPH + 1 Proton = 1 2_3-Dihydroxy-3-methylvalerate + 1 NADP </t>
  </si>
  <si>
    <t xml:space="preserve">1 2_3-Dihydroxy-3-methylvalerate = 1 3MOP + 1 H2O </t>
  </si>
  <si>
    <t xml:space="preserve">1 ALCTT + 1 NADPH + 1 Proton = 1 2_3-Dihydroxy-isovalerate + 1 NADP </t>
  </si>
  <si>
    <t xml:space="preserve">1 ATP + 1 CELB_out + 1 H2O = 1 ADP + 1 CELB + 1 Phosphate + 1 Proton </t>
  </si>
  <si>
    <t xml:space="preserve">1 CO2 = 1 CO2_out </t>
  </si>
  <si>
    <t xml:space="preserve">1 Acetyl-CoA + 1 L-Serine = 1 CoA + 1 O-Acetyl-L-serine </t>
  </si>
  <si>
    <t xml:space="preserve">0.34 dATP + 0.16 dCTP + 0.16 dGTP + 0.34 dTTP + 1 H2O = 1 DNA + 1 PPi + 1 Proton </t>
  </si>
  <si>
    <t xml:space="preserve">1 D-fructose-1_6-bisphosphate = 1 DHAP + 1 Glyceraldehyde3-phosphate </t>
  </si>
  <si>
    <t xml:space="preserve">4 ferrocyt_c + 1 O2 + 8 Proton = 4 ferricyt_c + 2 H2O + 4 proton_out </t>
  </si>
  <si>
    <t xml:space="preserve">1 ADP + 1 Phosphate + 4 proton_out = 1 ATP + 1 H2O + 3 Proton </t>
  </si>
  <si>
    <t xml:space="preserve">1 FAD + 1 NADH + 1 Proton = 1 FADH2 + 1 NAD </t>
  </si>
  <si>
    <t xml:space="preserve">1 glucose-6-phosphate = 1 D-fructose-6-phosphate </t>
  </si>
  <si>
    <t xml:space="preserve">1 ATP + 1 D-glucose = 1 ADP + 1 glucose-6-phosphate + 1 Proton </t>
  </si>
  <si>
    <t xml:space="preserve">1 ADP + 1 Phosphoenolpyruvate + 1 Proton = 1 ATP + 1 Pyruvate </t>
  </si>
  <si>
    <t xml:space="preserve">1 ATP + 1 Phosphate + 1 Pyruvate = 1 AMP + 1 Phosphoenolpyruvate + 1 PPi + 1 Proton </t>
  </si>
  <si>
    <t xml:space="preserve">1 2-Phospho-D-glycerate = 1 H2O + 1 Phosphoenolpyruvate </t>
  </si>
  <si>
    <t xml:space="preserve">1 Glyceraldehyde3-phosphate = 1 DHAP </t>
  </si>
  <si>
    <t xml:space="preserve">1 3-Phosphoglycerate + 1 ATP = 1 1_3-Bisphospho-D-glycerate + 1 ADP </t>
  </si>
  <si>
    <t xml:space="preserve">1 D-fructose-1_6-bisphosphate + 1 H2O = 1 D-fructose-6-phosphate + 1 Phosphate </t>
  </si>
  <si>
    <t xml:space="preserve">1 CELB + 1 H2O = 2 D-glucose </t>
  </si>
  <si>
    <t xml:space="preserve">1 ATP + 1 L-Glutamate + 1 NH3 = 1 ADP + 1 L-Glutamine + 1 Phosphate </t>
  </si>
  <si>
    <t xml:space="preserve">1 2-Oxoglutarate + 1 NADH + 1 NH3 + 2 Proton = 1 H2O + 1 L-Glutamate + 1 NAD </t>
  </si>
  <si>
    <t xml:space="preserve">1 Isocitrate = 1 glyoxylate + 1 Succinate </t>
  </si>
  <si>
    <t xml:space="preserve">1 Acetyl-CoA + 1 glyoxylate + 1 H2O = 1 CoA + 1 L-Malate + 1 Proton </t>
  </si>
  <si>
    <t xml:space="preserve">1 3-Phosphoglycerate + 1 H2O + 1 L-Glutamate + 1 NAD = 1 2-Oxoglutarate + 1 L-Serine + 1 NADH + 1 Phosphate + 1 Proton </t>
  </si>
  <si>
    <t xml:space="preserve">1 ATP + 1 L-Aspartate = 1 4-Phospho-L-aspartate + 1 ADP </t>
  </si>
  <si>
    <t xml:space="preserve">1 L-Serine + 1 tetrahydrofolate_B9 = 1 5-10-Methylenetetrahydrofolate + 1 Glycine + 1 H2O </t>
  </si>
  <si>
    <t xml:space="preserve">1 H2O + 1 O-Phospho-L-homoserine = 1 L-Threonine + 1 Phosphate </t>
  </si>
  <si>
    <t xml:space="preserve">1 ATP + 1 L-Homoserine = 1 ADP + 1 O-Phospho-L-homoserine + 1 Proton </t>
  </si>
  <si>
    <t xml:space="preserve">1 L-Aspartate4-semialdehyde + 1 NADH + 1 Proton = 1 L-Homoserine + 1 NAD </t>
  </si>
  <si>
    <t xml:space="preserve">1 4-Phospho-L-aspartate + 1 NADPH + 1 Proton = 1 L-Aspartate4-semialdehyde + 1 NADP + 1 Phosphate </t>
  </si>
  <si>
    <t xml:space="preserve">1 H2O2_ext = 1 H2O2 </t>
  </si>
  <si>
    <t xml:space="preserve">1 ATP + 1 PRPP = 1 Phosphoribosyl-ATP + 1 PPi </t>
  </si>
  <si>
    <t xml:space="preserve">1 H2O + 1 L-Histidinal + 1 NAD = 1 L-Histidine + 1 NADH + 2 Proton </t>
  </si>
  <si>
    <t xml:space="preserve">1 L-Histidinol + 1 NAD = 1 L-Histidinal + 1 NADH + 1 Proton </t>
  </si>
  <si>
    <t xml:space="preserve">1 H2O + 1 L-histidinol-phosphate = 1 L-Histidinol + 1 Phosphate </t>
  </si>
  <si>
    <t xml:space="preserve">1 imidazole-acetol-phosphate + 1 L-Glutamate = 1 2-Oxoglutarate + 1 L-histidinol-phosphate </t>
  </si>
  <si>
    <t xml:space="preserve">1 D-erythro-imidazol-glycerol-phosphate = 1 H2O + 1 imidazole-acetol-phosphate </t>
  </si>
  <si>
    <t xml:space="preserve">1 H2O + 1 Phosphoribosyl-ATP = 1 Phosphoribosyl-AMP + 1 PPi + 1 Proton </t>
  </si>
  <si>
    <t xml:space="preserve">1 H2O + 1 Phosphoribosyl-AMP = 1 phosphoribosylformiminoaicar-phosphate </t>
  </si>
  <si>
    <t xml:space="preserve">1 L-Glutamine + 1 phosphoribulosylformimino-AICAR-phosphate = 1 AICAR + 1 D-erythro-imidazol-glycerol-phosphate + 1 L-Glutamate + 1 Proton </t>
  </si>
  <si>
    <t xml:space="preserve">1 phosphoribosylformiminoaicar-phosphate = 1 phosphoribulosylformimino-AICAR-phosphate </t>
  </si>
  <si>
    <t xml:space="preserve">1 H2O + 1 PPi = 2 Phosphate + 1 Proton </t>
  </si>
  <si>
    <t xml:space="preserve">1 C25 + 1 farnesyl-geranyl-diphosphate = 1 C25-C25 + 1 PPi </t>
  </si>
  <si>
    <t xml:space="preserve">1 farnesyl-geranyl-diphosphate + 1 sn-glycerol-1-P = 1 C25 + 1 PPi </t>
  </si>
  <si>
    <t xml:space="preserve">1 DHAP + 1 NADH + 1 Proton = 1 NAD + 1 sn-glycerol-1-P </t>
  </si>
  <si>
    <t xml:space="preserve">1 dimethylallyl-diphosphate + 1 isopentenyl-diphosphate = 1 geranyl-diphosphate + 1 PPi </t>
  </si>
  <si>
    <t xml:space="preserve">1 geranyl-diphosphate + 1 isopentenyl-diphosphate = 1 farnesyl-diphosphate + 1 PPi </t>
  </si>
  <si>
    <t xml:space="preserve">1 farnesyl-diphosphate + 1 isopentenyl-diphosphate = 1 geranyl-geranyl-diphosphate + 1 PPi </t>
  </si>
  <si>
    <t xml:space="preserve">1 geranyl-geranyl-diphosphate + 1 isopentenyl-diphosphate = 1 farnesyl-geranyl-diphosphate + 1 PPi </t>
  </si>
  <si>
    <t xml:space="preserve">1 meso-2_6-Diaminopimelate + 1 Proton = 1 CO2 + 1 L-Lysine </t>
  </si>
  <si>
    <t xml:space="preserve">1 L-Aspartate4-semialdehyde + 1 Pyruvate = 1 Dihydrodipicolinate + 2 H2O + 1 Proton </t>
  </si>
  <si>
    <t xml:space="preserve">1 LL-2_6-Diaminopimelate = 1 meso-2_6-Diaminopimelate </t>
  </si>
  <si>
    <t xml:space="preserve">1 Dihydrodipicolinate + 1 NADH + 1 Proton = 1 NAD + 1 tetrahydrodipicolinate </t>
  </si>
  <si>
    <t xml:space="preserve">1 H2O + 1 L-Glutamate + 1 Proton + 1 tetrahydrodipicolinate = 1 2-Oxoglutarate + 1 LL-2_6-Diaminopimelate </t>
  </si>
  <si>
    <t xml:space="preserve">1 ATP + 1 H2O = 1 ADP + 1 Maintenance_energy + 1 Phosphate + 1 Proton </t>
  </si>
  <si>
    <t xml:space="preserve">1 5-methyl-tetrahydrofolate + 1 Homocysteine = 1 L-Methionine + 1 tetrahydrofolate_B9 </t>
  </si>
  <si>
    <t xml:space="preserve">1 Cystathionine + 1 H2O = 1 Homocysteine + 1 NH3 + 1 Proton + 1 Pyruvate </t>
  </si>
  <si>
    <t xml:space="preserve">1 ATP + 1 isopentenyl-phosphate = 1 ADP + 1 isopentenyl-diphosphate </t>
  </si>
  <si>
    <t xml:space="preserve">2 Acetyl-CoA = 1 Acetoacetyl-CoA + 1 CoA </t>
  </si>
  <si>
    <t xml:space="preserve">1 isopentenyl-diphosphate = 1 dimethylallyl-diphosphate </t>
  </si>
  <si>
    <t xml:space="preserve">1 Acetoacetyl-CoA + 1 Acetyl-CoA + 1 H2O = 1 3-Hydroxy-3-methylglutaryl-CoA + 1 CoA + 1 Proton </t>
  </si>
  <si>
    <t xml:space="preserve">1 3-Hydroxy-3-methylglutaryl-CoA + 2 NADPH + 2 Proton = 1 CoA + 1 Mevalonate + 2 NADP </t>
  </si>
  <si>
    <t xml:space="preserve">1 ATP + 1 Mevalonate = 1 5-phosphomevalonate + 1 ADP + 1 Proton </t>
  </si>
  <si>
    <t xml:space="preserve">1 NAD + 1 NADPH = 1 NADH + 1 NADP </t>
  </si>
  <si>
    <t xml:space="preserve">1 NH3_ext = 1 NH3 </t>
  </si>
  <si>
    <t xml:space="preserve">1 O2_out = 1 O2 </t>
  </si>
  <si>
    <t xml:space="preserve">1 L-Glutamate + 1 Phenylpyruvate = 1 2-Oxoglutarate + 1 L-Phenylalanine </t>
  </si>
  <si>
    <t xml:space="preserve">1 L-Glutamate + 1 p-hydroxyphenylpyruvate = 1 2-Oxoglutarate + 1 L-Tyrosine </t>
  </si>
  <si>
    <t xml:space="preserve">1 Chorismate + 1 NH3 = 1 Anthranilate + 1 H2O + 1 Pyruvate </t>
  </si>
  <si>
    <t xml:space="preserve">1 Anthranilate + 1 PRPP = 1 N-5-phosphoribosyl-anthranilate + 1 PPi </t>
  </si>
  <si>
    <t xml:space="preserve">1 Prephenate + 1 Proton = 1 CO2 + 1 H2O + 1 Phenylpyruvate </t>
  </si>
  <si>
    <t xml:space="preserve">1 5-O--1-Carboxyvinyl-3-phosphoshikimate = 1 Chorismate + 1 Phosphate </t>
  </si>
  <si>
    <t xml:space="preserve">1 Chorismate = 1 Prephenate </t>
  </si>
  <si>
    <t xml:space="preserve">1 NAD + 1 Prephenate = 1 CO2 + 1 NADH + 1 p-hydroxyphenylpyruvate </t>
  </si>
  <si>
    <t xml:space="preserve">1 D-Erythrose4-phosphate + 1 H2O + 1 Phosphoenolpyruvate = 1 DAHP + 1 Phosphate </t>
  </si>
  <si>
    <t xml:space="preserve">1 ATP + 1 Shikimate = 1 3-phosphoshikimate + 1 ADP + 1 Proton </t>
  </si>
  <si>
    <t xml:space="preserve">1 3-Dehydroshikimate + 1 NADPH + 1 Proton = 1 NADP + 1 Shikimate </t>
  </si>
  <si>
    <t xml:space="preserve">1 DAHP = 1 5-Dehydroquinate + 1 Phosphate </t>
  </si>
  <si>
    <t xml:space="preserve">1 5-Dehydroquinate = 1 3-Dehydroshikimate + 1 H2O </t>
  </si>
  <si>
    <t xml:space="preserve">1 3-phosphoshikimate + 1 Phosphoenolpyruvate = 1 5-O--1-Carboxyvinyl-3-phosphoshikimate + 1 Phosphate </t>
  </si>
  <si>
    <t xml:space="preserve">1 1-2-carboxyphenylamino-1-deoxyribulose-5-phosphate + 1 Proton = 1 CO2 + 1 H2O + 1 Indoleglycerol-phosphate </t>
  </si>
  <si>
    <t xml:space="preserve">1 N-5-phosphoribosyl-anthranilate = 1 1-2-carboxyphenylamino-1-deoxyribulose-5-phosphate </t>
  </si>
  <si>
    <t xml:space="preserve">1 ATP + 1 H2O + 1 Phosphate_out = 1 ADP + 2 Phosphate + 1 Proton </t>
  </si>
  <si>
    <t xml:space="preserve">1 D-glucose + 1 NADP = 1 D-glucono-1_5-lactone + 1 NADPH + 1 Proton </t>
  </si>
  <si>
    <t xml:space="preserve">1 D-glucono-1_5-lactone + 1 H2O = 1 GLCN + 1 Proton </t>
  </si>
  <si>
    <t xml:space="preserve">1 Phosphate + 1 Sedoheptulose7-phosphate = 1 H2O + 1 sedoheptulose-1_7-bisphosphate </t>
  </si>
  <si>
    <t xml:space="preserve">1 sedoheptulose-1_7-bisphosphate = 1 D-Erythrose4-phosphate + 1 DHAP </t>
  </si>
  <si>
    <t xml:space="preserve">1 6-Phospho-D-gluconate = 1 2-Keto-3-deoxy-6-phosphogluconate + 1 H2O </t>
  </si>
  <si>
    <t xml:space="preserve">1 D-fructose-6-phosphate = 1 3-hexulose-6-phosphate </t>
  </si>
  <si>
    <t xml:space="preserve">1 3-hexulose-6-phosphate = 1 D-Ribulose5-phosphate + 1 formaldehyde </t>
  </si>
  <si>
    <t xml:space="preserve">1 ATP + 1 ribose-5-phosphate = 1 AMP + 1 Proton + 1 PRPP </t>
  </si>
  <si>
    <t xml:space="preserve">1 ribose-5-phosphate = 1 D-Ribulose5-phosphate </t>
  </si>
  <si>
    <t xml:space="preserve">1 6-Phospho-D-gluconate + 1 NADP = 1 CO2 + 1 D-Ribulose5-phosphate + 1 NADPH </t>
  </si>
  <si>
    <t xml:space="preserve">1 GLCN = 1 2-keto-3-deoxygluconate + 1 H2O </t>
  </si>
  <si>
    <t xml:space="preserve">1 2-keto-3-deoxygluconate + 1 ATP = 1 2-Keto-3-deoxy-6-phosphogluconate + 1 ADP + 1 Proton </t>
  </si>
  <si>
    <t xml:space="preserve">1 Glyceraldehyde3-phosphate + 1 Sedoheptulose7-phosphate = 1 D-Xylulose5-phosphate + 1 ribose-5-phosphate </t>
  </si>
  <si>
    <t xml:space="preserve">1 D-fructose-6-phosphate + 1 Glyceraldehyde3-phosphate = 1 D-Erythrose4-phosphate + 1 D-Xylulose5-phosphate </t>
  </si>
  <si>
    <t xml:space="preserve">1 2-Keto-3-deoxy-6-phosphogluconate = 1 Glyceraldehyde3-phosphate + 1 Pyruvate </t>
  </si>
  <si>
    <t xml:space="preserve">1 AMP + 1 ATP = 2 ADP </t>
  </si>
  <si>
    <t xml:space="preserve">1 ATP + 1 GDP = 1 ADP + 1 GTP </t>
  </si>
  <si>
    <t xml:space="preserve">1 ATP + 1 GMP = 1 ADP + 1 GDP </t>
  </si>
  <si>
    <t xml:space="preserve">1 FAICAR = 1 H2O + 1 IMP </t>
  </si>
  <si>
    <t xml:space="preserve">1 H2O + 1 IMP + 1 NAD = 1 NADH + 1 Proton + 1 XMP </t>
  </si>
  <si>
    <t xml:space="preserve">1 ATP + 1 dADP = 1 ADP + 1 dATP </t>
  </si>
  <si>
    <t xml:space="preserve">1 ATP + 1 H2O + 1 L-Glutamine + 1 XMP = 1 AMP + 1 GMP + 1 L-Glutamate + 1 PPi + 2 Proton </t>
  </si>
  <si>
    <t xml:space="preserve">1 ADP + 1 thioredoxin_red = 1 dADP + 1 H2O + 1 thioredoxin_ox </t>
  </si>
  <si>
    <t xml:space="preserve">1 GTP + 1 thioredoxin_red = 1 dGTP + 1 H2O + 1 thioredoxin_ox </t>
  </si>
  <si>
    <t xml:space="preserve">1 5-Phosphoribosylamine + 1 ATP + 1 Glycine = 1 ADP + 1 GAR + 1 Phosphate + 1 Proton </t>
  </si>
  <si>
    <t xml:space="preserve">1 ATP + 1 FGAM = 1 ADP + 1 AIR + 1 Phosphate + 1 Proton </t>
  </si>
  <si>
    <t xml:space="preserve">1 AIR + 1 CO2 = 1 CAIR + 2 Proton </t>
  </si>
  <si>
    <t xml:space="preserve">1 10-Formyltetrahydrofolate + 1 GAR = 1 N-Formyl-GAR + 1 Proton + 1 tetrahydrofolate_B9 </t>
  </si>
  <si>
    <t xml:space="preserve">1 ATP + 1 H2O + 1 L-Glutamine + 1 N-Formyl-GAR = 1 ADP + 1 FGAM + 1 L-Glutamate + 1 Phosphate + 1 Proton </t>
  </si>
  <si>
    <t xml:space="preserve">1 SAICAR = 1 AICAR + 1 Fumarate </t>
  </si>
  <si>
    <t xml:space="preserve">1 10-Formyltetrahydrofolate + 1 AICAR = 1 FAICAR + 1 tetrahydrofolate_B9 </t>
  </si>
  <si>
    <t xml:space="preserve">1 ATP + 1 CAIR + 1 L-Aspartate = 1 ADP + 1 Phosphate + 1 Proton + 1 SAICAR </t>
  </si>
  <si>
    <t xml:space="preserve">1 Proton + 1 Pyruvate + 1 TPP = 1 2-Hydroxyethyl-ThPP + 1 CO2 </t>
  </si>
  <si>
    <t xml:space="preserve">1 ATP + 1 UDP = 1 ADP + 1 UTP </t>
  </si>
  <si>
    <t xml:space="preserve">1 ATP + 1 UMP = 1 ADP + 1 UDP </t>
  </si>
  <si>
    <t xml:space="preserve">1 ATP + 1 NH3 + 1 UTP = 1 ADP + 1 CTP + 1 Phosphate + 1 Proton </t>
  </si>
  <si>
    <t xml:space="preserve">1 Orotidylic-acid + 1 Proton = 1 CO2 + 1 UMP </t>
  </si>
  <si>
    <t xml:space="preserve">1 Carbamoylphosphate + 1 L-Aspartate = 1 N-Carbamoyl-L-aspartate + 1 Phosphate + 1 Proton </t>
  </si>
  <si>
    <t xml:space="preserve">1 Dihydrolipoamide + 1 NAD = 1 Lipoamide + 1 NADH + 1 Proton </t>
  </si>
  <si>
    <t xml:space="preserve">1 O2 + 1 S-Dihydroorotate = 1 H2O2 + 1 Orotate </t>
  </si>
  <si>
    <t xml:space="preserve">1 Orotate + 1 PRPP = 1 Orotidylic-acid + 1 PPi </t>
  </si>
  <si>
    <t xml:space="preserve">1 N-Carbamoyl-L-aspartate + 1 Proton = 1 H2O + 1 S-Dihydroorotate </t>
  </si>
  <si>
    <t xml:space="preserve">1 CTP + 1 thioredoxin_red = 1 dCTP + 1 H2O + 1 thioredoxin_ox </t>
  </si>
  <si>
    <t xml:space="preserve">1 thioredoxin_red + 1 UTP = 1 dUTP + 1 H2O + 1 thioredoxin_ox </t>
  </si>
  <si>
    <t xml:space="preserve">1 ATP + 1 dTDP = 1 ADP + 1 dTTP </t>
  </si>
  <si>
    <t xml:space="preserve">1 ATP + 1 dTMP = 1 ADP + 1 dTDP </t>
  </si>
  <si>
    <t xml:space="preserve">1 dUTP + 1 H2O = 1 dUMP + 1 PPi + 1 Proton </t>
  </si>
  <si>
    <t xml:space="preserve">1 dCTP + 1 H2O = 1 dUTP + 1 NH3 </t>
  </si>
  <si>
    <t xml:space="preserve">1 2-Hydroxyethyl-ThPP + 1 Lipoamide = 1 S-Acetyldihydrolipoamide + 1 TPP </t>
  </si>
  <si>
    <t xml:space="preserve">1 5-10-Methylenetetrahydrofolate + 1 dUMP + 1 FADH2 = 1 dTMP + 1 FAD + 1 tetrahydrofolate_B9 </t>
  </si>
  <si>
    <t xml:space="preserve">1 L-Malate + 1 NADP = 1 CO2 + 1 NADPH + 1 Pyruvate </t>
  </si>
  <si>
    <t xml:space="preserve">1 CO2 + 1 H2O + 1 Phosphoenolpyruvate = 1 Oxaloacetate + 1 Phosphate + 1 Proton </t>
  </si>
  <si>
    <t xml:space="preserve">0.25 ATP + 0.25 CTP + 0.32 GTP + 1 H2O + 0.18 UTP = 1 PPi + 1 Proton + 1 rRNA </t>
  </si>
  <si>
    <t xml:space="preserve">1 L-Malate + 1 NAD = 1 NADH + 1 Oxaloacetate + 1 Proton </t>
  </si>
  <si>
    <t xml:space="preserve">1 Citrate + 1 CoA + 1 Proton = 1 Acetyl-CoA + 1 H2O + 1 Oxaloacetate </t>
  </si>
  <si>
    <t xml:space="preserve">1 ADP + 1 Phosphate + 1 Succinyl-CoA = 1 ATP + 1 CoA + 1 Succinate </t>
  </si>
  <si>
    <t xml:space="preserve">1 Isocitrate + 1 NAD = 1 2-Oxoglutarate + 1 CO2 + 1 NADH </t>
  </si>
  <si>
    <t xml:space="preserve">1 CoA + 1 S-Acetyldihydrolipoamide = 1 Acetyl-CoA + 1 Dihydrolipoamide </t>
  </si>
  <si>
    <t xml:space="preserve">1 NADP + 1 thioredoxin_red = 1 NADPH + 1 Proton + 1 thioredoxin_ox </t>
  </si>
  <si>
    <t xml:space="preserve">1 H2O + 1 L-Glutamine + 1 PRPP = 1 5-Phosphoribosylamine + 1 L-Glutamate + 1 PPi </t>
  </si>
  <si>
    <t xml:space="preserve">1 Adenylosuccinate = 1 AMP + 1 Fumarate </t>
  </si>
  <si>
    <t xml:space="preserve">1 GTP + 1 IMP + 1 L-Aspartate = 1 Adenylosuccinate + 1 GDP + 1 Phosphate + 2 Proton </t>
  </si>
  <si>
    <t xml:space="preserve">1 Maintenance_energy = 1 Maintenance_leak </t>
  </si>
  <si>
    <t xml:space="preserve">1 proton_external = 1 Proton </t>
  </si>
  <si>
    <t xml:space="preserve">1 formate + 1 NAD = 1 CO2 + 1 NADH </t>
  </si>
  <si>
    <t xml:space="preserve">1 formaldehyde + 1 tetrahydrofolate_B9 = 1 5-10-Methylenetetrahydrofolate + 1 H2O </t>
  </si>
  <si>
    <t xml:space="preserve">1 H2O + 1 Oxaloacetate + 1 propanoyl-CoA = 1 CoA + 1 Proton + 1 Pyruvate + 1 Succinate </t>
  </si>
  <si>
    <t xml:space="preserve">1 urea = 1 urea_ext </t>
  </si>
  <si>
    <t xml:space="preserve">1 Phosphate = 1 Phosphate_out </t>
  </si>
  <si>
    <t xml:space="preserve">1 myell_rRNA_ext = 1 myell_rRNA </t>
  </si>
  <si>
    <t xml:space="preserve">1 H2S + 1 O-Acetyl-L-serine = 1 Acetate + 1 L-Cysteine + 1 Proton </t>
  </si>
  <si>
    <t xml:space="preserve">1 indol + 1 L-Serine = 1 H2O + 1 L-Tryptophan </t>
  </si>
  <si>
    <t xml:space="preserve">1 Indoleglycerol-phosphate = 1 Glyceraldehyde3-phosphate + 1 indol </t>
  </si>
  <si>
    <t xml:space="preserve">1 2-Oxobutyrate + 1 CoA + 1 NAD = 1 CO2 + 1 NADH + 1 propanoyl-CoA </t>
  </si>
  <si>
    <t xml:space="preserve">1 propanoyl-CoA + 1 Succinate = 1 propionate + 1 Succinyl-CoA </t>
  </si>
  <si>
    <t xml:space="preserve">1 myell_protein = 7 Glycine + 6 L-Alanine + 6 L-Arginine + 4 L-Asparagine + 4 L-Aspartate + 1 L-Cysteine + 7 L-Glutamate + 2 L-Glutamine + 2 L-Histidine + 6 L-Isoleucine + 11 L-Leucine + 6 L-Lysine + 2 L-Methionine + 4 L-Phenylalanine + 5 L-Proline + 8 L-Serine + 5 L-Threonine + 1 L-Tryptophan + 4 L-Tyrosine + 9 L-Valine </t>
  </si>
  <si>
    <t xml:space="preserve">1 ATP + 1 FAD + 1 H2O + 1 HCO3 + 1 Isovaleryl-CoA = 1 3-Hydroxy-3-methylglutaryl-CoA + 1 ADP + 1 FADH2 + 1 Phosphate + 1 Proton </t>
  </si>
  <si>
    <t xml:space="preserve">1 ATP + 1 CoA + 1 propionate = 1 ADP + 1 Phosphate + 1 propanoyl-CoA </t>
  </si>
  <si>
    <t>Inf</t>
  </si>
  <si>
    <t>Enzyme Commission</t>
  </si>
  <si>
    <t>3.2.1.74</t>
  </si>
  <si>
    <t>cren1_8best_scaffolds_00016350</t>
  </si>
  <si>
    <t>MFKFPRNFLFGFSESGFQFEMGVKGSEDEYSDWWSWVHDEENMLAGIVSG
DLPENGPGYWDLYKKDHEIANVLGMNAARLGIEWSRIFPKPTWDIKVSYE
EDEDSIISVDISESILERLDAIADKNALKRYREIFEDWKLRNKFLIINLS
HFTLPIWIHDPISMRKYHQSENLPKGWVDKKTVIEFAKYASYIAWKFDDL
ADMWSTLNEPNVVYGSGFVQIRSGLPPGILNLGYAISSAKHLAEAHARAY
DNIKSFSKKPVGLIYAVPSVEPRIKHDEKHEEAARIAKDVEVFDLMNLLT
KGESKFIGQRKDLANHIDWIGINYYSRIVIEPSQANPGFKELDGYGMHCL
PNSVSKEGRECSDFGWEIYPEGLFDVINEVWKRYNKPMLITENGIADAED
KYRGKFIMKHLYQVQKALNTGLTSSPP</t>
  </si>
  <si>
    <t>x</t>
  </si>
  <si>
    <t>Beta-glucosidase/6-phospho-beta-glucosidase/beta-galactosidase</t>
  </si>
  <si>
    <t>ATGTTTAAATTTCCCAGGAACTTTCTATTCGGATTTTCTGAATCAGGATT
CCAATTTGAAATGGGTGTAAAAGGTTCAGAAGATGAATATTCTGACTGGT
GGTCTTGGGTCCATGATGAAGAAAACATGCTTGCAGGCATAGTAAGTGGA
GATTTGCCTGAAAACGGGCCTGGATACTGGGATCTTTATAAAAAGGACCA
TGAAATAGCAAATGTCTTAGGAATGAATGCTGCAAGATTAGGTATAGAAT
GGAGTAGAATATTTCCTAAGCCTACCTGGGATATTAAAGTTAGTTATGAA
GAAGATGAAGATAGCATTATCAGCGTTGACATAAGTGAAAGTATTTTAGA
AAGATTGGATGCTATTGCAGATAAAAACGCTTTAAAGAGATATAGAGAAA
TATTTGAAGATTGGAAGTTAAGGAATAAATTTCTTATAATAAACCTTTCC
CATTTTACTTTACCTATATGGATTCATGATCCAATAAGTATGAGAAAATA
TCATCAATCAGAAAATTTACCAAAAGGTTGGGTCGATAAGAAAACAGTTA
TTGAATTTGCAAAATATGCAAGCTACATTGCATGGAAATTTGATGACCTT
GCTGATATGTGGTCTACTTTGAATGAACCAAATGTGGTTTATGGCTCAGG
ATTCGTCCAAATTAGATCTGGCCTCCCTCCAGGCATATTAAATTTAGGAT
ATGCAATTAGCTCTGCTAAACACCTCGCTGAAGCTCATGCAAGGGCTTAT
GATAACATTAAATCCTTTTCTAAGAAGCCTGTTGGCTTAATCTATGCTGT
GCCTTCTGTGGAACCAAGAATAAAGCATGATGAAAAACATGAAGAGGCAG
CAAGAATAGCTAAGGATGTAGAAGTTTTTGATTTAATGAACCTCTTAACC
AAAGGAGAATCAAAATTTATAGGACAAAGAAAAGATTTGGCAAATCATAT
CGATTGGATTGGTATTAATTACTATAGTAGGATCGTTATTGAACCTTCTC
AAGCAAACCCCGGTTTTAAAGAATTAGATGGATATGGAATGCATTGCCTT
CCAAACTCAGTTTCGAAAGAGGGAAGAGAGTGTAGCGATTTCGGTTGGGA
AATATATCCAGAAGGGCTATTTGATGTAATAAATGAAGTTTGGAAAAGAT
ATAATAAGCCGATGTTAATAACCGAGAATGGCATAGCTGATGCTGAAGAT
AAATATAGGGGAAAGTTCATTATGAAGCATTTATACCAAGTTCAAAAAGC
TTTGAATACAGGACTGACCTCCTCCCCACCCTAA</t>
  </si>
  <si>
    <t>10.1128/JB.188.5.2014-2019.2006</t>
  </si>
  <si>
    <t>Reference Paper</t>
  </si>
  <si>
    <t>Predicted N-acetylglucosamine kinase</t>
  </si>
  <si>
    <t>cren1_8best_scaffolds_00004730</t>
  </si>
  <si>
    <t xml:space="preserve">MKYYLALDGGGSKTVCLIFDESLRILGYGSSGPANYQSIGLESAIKNINE
AIENAKKSLDFQYPISSACFSLAGINSRIDYKRMLKRIAEGHYASKIRIV
HDGEASLNAATLGKKGIIVILGTGSLVAGYDDKGNYYRCCDWGHLLGDEG
SAYRISIRILSLILKGFDGRIAMPIIGYEIAKLLKIENFDEIVTYVYTDW
QVKDIAKFASFIIGKAEKDRQIYKILEEEANEIAEGVKVISEKVKSKEVY
LTGGLVNSSKNRIYTNIVKESIRSKIPDCKIRILRSSSLLGSALIALKED
NVTINKKLLMNLKREFRKFQKEIDRLAIQS
</t>
  </si>
  <si>
    <t xml:space="preserve">ATGAAGTATTATCTTGCTTTAGATGGCGGCGGTTCCAAAACAGTATGTTT
GATATTCGATGAATCATTAAGAATCTTAGGCTATGGTTCTTCTGGACCTG
CAAACTATCAAAGCATAGGTCTAGAATCTGCAATAAAAAATATAAATGAA
GCTATAGAAAACGCTAAAAAATCTTTGGATTTTCAGTATCCAATATCTTC
TGCTTGTTTTTCTCTTGCTGGAATAAACAGCAGAATAGATTATAAAAGGA
TGCTTAAAAGGATAGCAGAAGGTCATTATGCAAGCAAAATTAGGATTGTT
CATGACGGAGAAGCTTCATTGAATGCAGCTACATTAGGAAAAAAAGGGAT
CATTGTAATTCTAGGCACAGGTTCTCTTGTTGCTGGCTACGATGATAAAG
GAAATTATTATAGATGCTGTGATTGGGGGCACCTTCTAGGAGATGAAGGA
AGTGCTTATAGAATTTCAATAAGAATATTGTCTTTAATTCTTAAAGGGTT
TGATGGAAGAATTGCAATGCCTATTATAGGTTATGAGATTGCAAAGCTTC
TTAAAATCGAGAATTTTGATGAAATAGTTACCTATGTATATACTGATTGG
CAAGTGAAAGACATTGCAAAATTTGCTTCTTTTATTATAGGGAAAGCAGA
GAAGGATAGGCAAATATACAAGATTTTAGAAGAAGAGGCAAACGAAATTG
CTGAAGGTGTTAAAGTTATAAGTGAGAAAGTAAAAAGCAAAGAGGTTTAT
CTAACAGGAGGACTTGTAAATTCTTCAAAAAATAGAATTTATACAAATAT
AGTTAAGGAGTCGATAAGATCAAAAATACCTGATTGTAAAATTAGAATAC
TAAGAAGCAGTTCTCTTCTTGGCTCTGCATTGATAGCTTTAAAGGAAGAT
AATGTTACAATCAATAAAAAATTACTAATGAATTTAAAAAGAGAGTTTAG
GAAATTCCAAAAAGAAATAGACAGATTAGCTATACAAAGCTAG
</t>
  </si>
  <si>
    <t>5.3.1.9</t>
  </si>
  <si>
    <t>Thermophilic glucose-6-phosphate isomerase and related metalloenzymes</t>
  </si>
  <si>
    <t>Product Name</t>
  </si>
  <si>
    <t>cren1_8best_scaffolds_00009970</t>
  </si>
  <si>
    <t>MRLNKNYELSDLENIKYLYFEDKLYEPNIRKANELKHLYYDAKKAEEIDP
ETELYYIYRNLVDKEIEENIKKEDLRIDVTVMRNILIGDEYNKTHGHYHP
EASPGRTFPEIYQVLKGRVLFLLQRCEENIVDDLILIEARENETVIIPPN
YGHNIVNVNDGVSITLNLVSSRFVPLYHRYKKYKGAAIYVLKENKLLINN
NYIINTKPRFLKTKIKNENLFYKLTKNVKEFKFLNWPYEIENYFQFFEEE
SRETL</t>
  </si>
  <si>
    <t>ATGAGATTAAATAAAAACTACGAATTATCAGATTTAGAAAATATTAAATA
TCTGTATTTTGAAGATAAGTTATATGAACCAAATATTAGAAAAGCAAATG
AATTAAAACATCTTTACTATGATGCTAAAAAAGCTGAAGAAATTGATCCT
GAAACAGAATTGTATTATATTTACAGAAATCTAGTAGATAAAGAAATAGA
AGAAAATATAAAAAAAGAAGATTTAAGAATAGATGTAACTGTGATGAGAA
ATATTTTGATCGGGGATGAATATAATAAAACACATGGACATTATCATCCT
GAAGCTTCTCCTGGTAGAACTTTTCCTGAAATATATCAAGTATTGAAAGG
CAGAGTTTTATTTTTGTTGCAAAGGTGCGAAGAAAATATAGTCGATGATT
TAATACTGATTGAAGCAAGAGAAAATGAAACGGTCATAATACCGCCAAAC
TATGGACACAACATTGTAAATGTTAATGATGGTGTATCAATAACACTTAA
CTTGGTAAGTTCAAGATTTGTACCGCTATACCATAGATATAAAAAGTACA
AAGGAGCAGCTATTTATGTTTTAAAAGAAAATAAATTACTAATTAACAAT
AACTACATAATTAATACAAAGCCCAGATTTCTAAAAACTAAGATAAAGAA
TGAAAATCTATTCTATAAATTGACTAAAAATGTAAAAGAATTTAAATTTT
TAAACTGGCCGTATGAAATCGAAAATTATTTTCAATTCTTCGAGGAAGAA
TCTAGAGAAACGCTGTAG</t>
  </si>
  <si>
    <t>3.1.3.11</t>
  </si>
  <si>
    <t>Archaeal fructose 1,6-bisphosphatase</t>
  </si>
  <si>
    <t>cren1_8best_scaffolds_00003980</t>
  </si>
  <si>
    <t>MTRVTVSLIKADIGSIAGHHRVIPEQIEYAKNKLEEAKQKNTIIDYFVFN
AGDDLELLITHSKGENSSIIHELAWNIFKEVTTNVSQKYKLYAAGQDLLS
DAFSGNVRGLGPGVAEMEIDERPSEPIIVFAADKTEPGAWNLPLYKVYAD
PFCTPGLVIDPTMHEGFIFHVMDLIEGRIIALKTPEESYDLLGLIGTPGR
FVIYKVYRKDGLLACSASTTRLSLIAGKYVGKDDPVCIVRAQRGLPAVGE
YLEAFSFPYLVAGWMRGSHIGPLMPVPLKYSQVTRFDGPPRLVALGFQLY
NGKLLGPADLFDDPVYDYVRNKAADIAEYIRRHGPFMPHRLGPEEMEYTT
LPQILKKLEKRFEKVNV</t>
  </si>
  <si>
    <t>ATGACAAGGGTAACTGTAAGTTTAATAAAGGCAGATATAGGAAGCATTGC
AGGACACCATAGAGTTATACCTGAACAAATAGAATATGCAAAGAACAAGC
TAGAAGAAGCAAAGCAGAAAAATACAATAATTGACTATTTTGTTTTCAAT
GCAGGAGATGATTTGGAACTTTTGATTACGCATAGTAAAGGTGAAAACAG
CAGTATTATTCATGAATTGGCATGGAATATATTCAAGGAAGTAACAACAA
ATGTTTCTCAAAAGTATAAGCTTTATGCTGCAGGACAAGATTTACTTTCT
GACGCCTTTTCTGGAAATGTAAGAGGTCTTGGTCCAGGAGTTGCAGAAAT
GGAAATCGATGAAAGACCTAGCGAACCTATCATTGTGTTTGCTGCAGATA
AAACTGAACCAGGGGCATGGAATTTGCCTTTGTATAAAGTATATGCAGAT
CCTTTCTGCACGCCTGGTTTGGTTATAGATCCAACAATGCATGAAGGATT
CATATTCCATGTTATGGATTTGATTGAAGGAAGAATCATCGCATTGAAAA
CTCCTGAAGAATCCTACGATTTGCTTGGACTAATAGGTACACCTGGAAGG
TTTGTAATTTATAAAGTATATAGAAAGGATGGCCTTTTAGCTTGCTCAGC
AAGTACTACAAGGCTTTCACTGATTGCAGGAAAATATGTAGGCAAAGATG
ACCCTGTTTGCATAGTTAGGGCTCAAAGAGGATTACCTGCAGTAGGAGAA
TACTTAGAGGCATTTTCATTCCCCTACCTTGTTGCAGGATGGATGAGAGG
CAGTCATATAGGACCTTTGATGCCAGTTCCTTTGAAATATTCGCAAGTAA
CAAGATTTGATGGCCCTCCAAGATTAGTTGCGCTTGGATTCCAATTATAC
AATGGCAAATTGCTCGGTCCTGCGGATCTCTTTGATGATCCAGTATATGA
TTATGTGAGAAATAAAGCTGCAGATATAGCAGAATACATAAGAAGGCATG
GACCTTTCATGCCTCACAGGCTTGGTCCCGAAGAAATGGAGTATACTACA
TTACCTCAAATATTGAAAAAGTTAGAAAAAAGGTTCGAAAAGGTTAATGT
TTAA</t>
  </si>
  <si>
    <t>4.1.2.13</t>
  </si>
  <si>
    <t>5.3.1.1</t>
  </si>
  <si>
    <t>triosephosphate isomerase</t>
  </si>
  <si>
    <t>cren1_8best_scaffolds_00003990</t>
  </si>
  <si>
    <t>MFKNEIRFPLLILNFKCYNEAIGINAIKLAQITKKVYEEVKKTIILAPTA
VDLPKIKHIFDLVIAQHADAIEPGGYTGHLPLEALKEAGAIGVLINHSEK
RIDLTSIEFLVKKSKKLGMISIVCGKDPDECFRLSKFEPDMIAIEPPELI
GSGKSVSKYKPESITRTLELVKRTNKKISVICGAGITNEEDVKIAIELGS
EGVLVSSSFVKSKDPYATLKSMVSVL`</t>
  </si>
  <si>
    <t xml:space="preserve">ATGTTTAAAAATGAAATAAGATTTCCATTGTTAATCCTCAATTTCAAATG
CTACAATGAAGCCATAGGAATTAACGCAATTAAGCTTGCTCAAATAACTA
AAAAGGTATATGAAGAAGTTAAAAAGACAATAATCCTTGCTCCAACGGCT
GTAGACTTGCCTAAAATTAAGCATATTTTTGATCTAGTTATTGCTCAGCA
TGCAGATGCAATTGAACCGGGAGGCTACACTGGACACTTGCCTCTAGAAG
CATTAAAAGAAGCAGGAGCAATAGGAGTGTTAATAAACCATTCAGAAAAA
AGAATTGATTTGACAAGTATAGAATTTCTTGTTAAAAAAAGCAAAAAACT
TGGTATGATAAGCATAGTTTGCGGTAAGGATCCAGATGAGTGCTTTCGTC
TTTCTAAATTTGAACCAGATATGATAGCAATTGAACCTCCTGAGCTTATA
GGGAGCGGAAAATCCGTTTCAAAGTACAAACCAGAGAGCATAACAAGGAC
GTTGGAACTTGTTAAACGAACCAATAAAAAAATCAGTGTTATTTGTGGTG
CAGGAATAACCAATGAAGAAGATGTAAAGATAGCAATTGAACTTGGTTCA
GAAGGAGTTTTAGTCTCTTCAAGCTTCGTTAAATCAAAGGATCCGTATGC
TACTTTAAAATCGATGGTTTCAGTATTGTGA
</t>
  </si>
  <si>
    <t>1.2.1.59</t>
  </si>
  <si>
    <t>glyceraldehyde-3-phosphate dehydrogenase, type II</t>
  </si>
  <si>
    <t>cren1_8best_scaffolds_00011490</t>
  </si>
  <si>
    <t>VKIRVGVVGGYGTIGKRVADAVMLQDDMELVGIVGPGFDWRAALMAKKGV
KIYLAPNARIEEFKRHNYEPAGTLEDLLKKVDVVVDATPEGVGEKNKEIY
DRFGVKAVFEGGEDHELTNVSFVAARNYKESLNKKYTRVVSCNTTAICRV
VGAIHERIGVKKARISIFRRAADPWESHKKGVINTVVPELEIPSHHGPDA
QTVIKDLDIITMAAKGSHNLYHLHMGFLELKEKATKEQVIKALEEEPRVV
LVSGKDRIEALNSIFEIGRELGRPRGDVYEIPVWLESISIIHNDLTLIWA
TPEESNVIPENIDAIRALMGVETEARKSIEKTDKALNVLKKFY</t>
  </si>
  <si>
    <t xml:space="preserve">GTGAAGATAAGAGTTGGTGTTGTTGGCGGTTATGGTACAATAGGCAAAAG
AGTAGCTGATGCCGTAATGCTTCAAGATGATATGGAACTTGTAGGGATAG
TGGGTCCTGGATTTGACTGGAGAGCAGCATTGATGGCTAAAAAAGGAGTA
AAAATTTACCTTGCGCCTAATGCTAGAATTGAAGAATTTAAAAGACATAA
TTATGAACCTGCTGGAACACTTGAAGATTTACTGAAAAAGGTGGATGTGG
TTGTTGATGCTACACCTGAAGGAGTAGGTGAAAAGAATAAAGAAATTTAT
GATAGATTTGGTGTAAAAGCTGTTTTTGAAGGGGGAGAGGACCATGAATT
AACGAATGTAAGCTTTGTTGCTGCAAGAAATTACAAAGAAAGCTTAAACA
AAAAATATACAAGGGTTGTTAGCTGTAATACCACTGCAATATGCAGAGTT
GTTGGTGCAATCCATGAAAGAATAGGTGTTAAGAAAGCAAGAATTTCAAT
CTTTAGAAGGGCAGCAGATCCTTGGGAATCACATAAGAAAGGCGTAATAA
ATACAGTCGTTCCTGAACTTGAAATACCCTCACACCATGGACCTGATGCG
CAAACGGTTATAAAAGACCTCGATATTATAACGATGGCTGCAAAAGGGAG
CCATAATTTATATCATTTACACATGGGTTTCCTTGAATTAAAAGAAAAGG
CAACAAAAGAACAAGTTATAAAGGCATTAGAAGAAGAACCAAGAGTGGTT
CTGGTAAGTGGCAAAGATAGAATTGAAGCACTAAATTCAATATTTGAAAT
AGGAAGAGAACTTGGAAGACCTAGGGGAGATGTATATGAAATTCCAGTTT
GGTTAGAGAGTATATCGATCATTCATAATGACTTAACGCTTATTTGGGCC
ACTCCTGAAGAGAGCAATGTAATTCCAGAGAATATAGATGCTATAAGAGC
TTTAATGGGCGTTGAAACTGAAGCTAGGAAATCTATAGAAAAAACAGATA
AGGCGCTTAATGTTTTAAAGAAGTTCTATTGA
</t>
  </si>
  <si>
    <t>2.7.2.3</t>
  </si>
  <si>
    <t>3-phosphoglycerate kinase</t>
  </si>
  <si>
    <t>cren1_8best_scaffolds_00011500</t>
  </si>
  <si>
    <t xml:space="preserve">MVSNPLGNKIREDILESMLKIDLGFRTMDDFDFEGKIVLLRTDMNLPLDP
KTNMPSDLTRMKVLAETTLTELLVRGARVVILTHQGRPGDADFTTTDLHA
KILSRMLKTKVVYVPDVYGQKAIEAIKKVREGAYRILMLENVRTDPEEMI
KKTGEDHAKSKQVQTLSMLCDIYVNDAFAAAHRSNASLTGYPYVLPSCAG
RVMEWEVRAITWLLQYSERPRLYIIGGAKLDDSISICKHLGETSKADWIF
TCGLIGNLYLKAAGYNLGDVNEKFLERKGGFLLMENAKEVLNKYGDKIIL
PKDLAVETPKGERVEVPLSALPINMPIKDIGQASVEVAENLINEARTIIV
SGPPGVYEEEQFAVATKRIFKAIAFSNAFSLAGGGHTVAALNITGYAKYF
SHISTGGGALIEMLMEKELPAIEALRANFKKVS
</t>
  </si>
  <si>
    <t xml:space="preserve">ATGGTTTCCAATCCATTAGGTAACAAGATAAGAGAAGACATTCTCGAATC
AATGCTTAAAATAGATTTAGGATTCAGAACTATGGATGACTTTGATTTCG
AAGGTAAAATCGTTCTTTTGAGAACAGATATGAATTTACCTCTTGATCCC
AAAACTAACATGCCGAGTGATTTAACTAGAATGAAAGTTCTTGCTGAGAC
AACACTTACAGAATTATTGGTAAGAGGAGCAAGAGTTGTTATACTCACAC
ACCAAGGAAGACCTGGCGATGCTGATTTTACCACCACAGATTTGCATGCT
AAAATCCTTTCTAGGATGCTGAAAACTAAAGTTGTATACGTTCCAGACGT
ATATGGCCAAAAGGCAATAGAAGCAATAAAAAAAGTGAGAGAAGGAGCCT
ATAGAATTTTAATGCTTGAGAATGTACGTACGGATCCTGAAGAGATGATA
AAGAAAACAGGGGAAGATCATGCAAAATCCAAGCAAGTTCAAACCCTATC
TATGCTATGTGATATTTATGTTAATGATGCATTCGCCGCAGCGCATAGAT
CAAATGCTTCTTTGACTGGTTATCCATACGTTTTACCTTCATGCGCAGGA
AGGGTGATGGAATGGGAGGTAAGAGCAATAACCTGGCTTTTGCAATATAG
CGAGAGACCGAGACTTTACATAATCGGAGGGGCGAAGCTTGATGATTCAA
TTTCAATTTGTAAGCATCTAGGTGAGACTTCGAAGGCAGATTGGATATTT
ACATGCGGCTTAATTGGAAACTTATATCTAAAAGCCGCTGGCTATAATTT
GGGGGATGTTAACGAAAAATTCTTAGAAAGGAAAGGAGGATTTTTATTGA
TGGAAAACGCAAAAGAAGTGCTGAATAAATATGGCGATAAAATAATCTTA
CCAAAAGATTTAGCTGTTGAAACGCCTAAAGGGGAGCGTGTAGAAGTACC
TTTAAGCGCTCTTCCAATAAATATGCCAATAAAAGATATAGGACAAGCTT
CTGTTGAAGTTGCTGAAAACCTGATAAATGAAGCTCGAACAATAATAGTA
AGTGGGCCTCCAGGAGTATATGAAGAAGAACAGTTTGCTGTAGCTACAAA
GAGAATTTTCAAGGCTATAGCTTTCTCTAATGCATTTTCTCTAGCAGGAG
GAGGACATACAGTTGCAGCTTTAAACATTACTGGGTATGCTAAGTATTTT
AGTCATATTAGTACAGGAGGAGGAGCCCTCATTGAAATGTTGATGGAAAA
AGAACTACCAGCTATTGAAGCCTTGAGAGCTAATTTTAAAAAGGTTTCTT
AA
</t>
  </si>
  <si>
    <t>5.4.2.1</t>
  </si>
  <si>
    <t>2,3-bisphosphoglycerate-independent phosphoglycerate mutase, archaeal form</t>
  </si>
  <si>
    <t>cren1_8best_scaffolds_00012030</t>
  </si>
  <si>
    <t>NAD-dependent aldehyde dehydrogenases</t>
  </si>
  <si>
    <t xml:space="preserve">ATGAATAAAAAAATAGTCTATATCTTGCTGGATGGCGCCTCGGATGGAAT
TTCTTATGAAATAACTTCGCTTGAAAAAGCTAACATGCCTTATTTAACAA
AAATAGCTATGGAATCAAAAGGAGGAATGGTGTATCCCATTGAGAAGGGA
GTGGCACCTGAAAGTGACACTGCCGCTATTTCTCTTCTTGGTTATAATCC
TAGAAAATATAGAATCGCTAGAGGAATACTAGAAGCATTAGGGAGCAGCG
TTGTATGGGAAGAAGGGGATTTAGCTCTTAGATGCAATTTTGCTACAGCA
AAGGGAAACATGATATTGGATAGAAGAGTTGGACGCTCGTTGAGCGATTA
TGAAGCAAAAATCTTAGAGAAGGAAATAATGGAGAAGGTCAAACTCCCCG
AAAATTATAACTTCACTTTTAAACATACAATAGGTCATAGAGCAGTCTTG
GTAATTTATAGAAAAGATGAACCTTTGGGGGATAATATAACAAATTTAGA
CCCTGGTTACGTTTTAAAAGAAGGTATAGCTCACGCAGTTACTACTATAG
AAAAAGAAATAAAGGAATGTGAGGCATTGGATGAACATTCAAAAAAATCT
GCACAACTTGTTAATGAATTCTTTAAGCAATCAAGATTAATTTTAGAAAA
AAGCGAAGTTAACAAAATTAGAAGTTCAAAAGGATTATTAGAAGCTAATA
TTGTGCTCACAAGAGATGCTGGTTCAAAGCTGCCTAAATTCTCTAATTTT
TATCAGAGATTTGGATTAAAGGGTTTATGTATTGCAGATATGCCAGTTGA
ACTAGGAATAGCTAAAGTGTTGGGAATGAATGTAATAAGTTCAAAAGATC
ATTCAGATGTTAAAGAAATGTATGTAAAAAAAGTAAAAATTTTAAAAGAA
AATCTAGACAAATTCGACTTCTTTTTTGTCCATATAAAAGGTGCAGACGA
ATACGCTCACGACGGAGATTTTGAAGGAAAAGTTTCAGCCCTTGAAGATA
TAGATTCTTATTTCTTCAAGAGATTTTATGATGACATTAATTTAGATGAA
ATTACTATAATTGTTTCAAGTGATCATTGCACTCCGCCAAAGCTGAAATC
ACACAGTGATGAAGCAGTTCCATTTATAATACGTTCAAAAAATGTAAAAG
GAGATGGTCTTTCAAAGTTTTCTGAAAAAGAATGTTCAAAAGGTTCCTTA
GGCTTAATAGAACATGGTTATGAGCTATTAGAAAGGATTTTTACACTGAT
CACTTAA
</t>
  </si>
  <si>
    <t>MNKKIVYILLDGASDGISYEITSLEKANMPYLTKIAMESKGGMVYPIEKG
VAPESDTAAISLLGYNPRKYRIARGILEALGSSVVWEEGDLALRCNFATA
KGNMILDRRVGRSLSDYEAKILEKEIMEKVKLPENYNFTFKHTIGHRAVL
VIYRKDEPLGDNITNLDPGYVLKEGIAHAVTTIEKEIKECEALDEHSKKS
AQLVNEFFKQSRLILEKSEVNKIRSSKGLLEANIVLTRDAGSKLPKFSNF
YQRFGLKGLCIADMPVELGIAKVLGMNVISSKDHSDVKEMYVKKVKILKE
NLDKFDFFFVHIKGADEYAHDGDFEGKVSALEDIDSYFFKRFYDDINLDE
ITIIVSSDHCTPPKLKSHSDEAVPFIIRSKNVKGDGLSKFSEKECSKGSL
GLIEHGYELLERIFTLIT</t>
  </si>
  <si>
    <t>4.2.1.11</t>
  </si>
  <si>
    <t>Enolase</t>
  </si>
  <si>
    <t>cren1_8best_scaffolds_00005300</t>
  </si>
  <si>
    <t xml:space="preserve">MSVDSLISDLRHRIIFDSRGDKTVEATVFLKKVKGIASCPSGISTGIYEV
KNLPSGDLRNKVREFNELSKKELIGKDSANQREIDEILHKIDGTEDLSNF
GAVNILSTSIANIKAYAYFLDEQIFKVINKKSKYTLPIPLGNMIGGGKHA
RGLSIDLQEILVACKNAENIYQAIEANTLLHKKCFQILSKEDMYFSGGKN
DEGAWITRIGNRKAVEIVKKAVQQVKSEKGYDFIIGIDFAASSIFDKRRS
TYNYKLEKINLNREQQYKFVSSLIEEFNISFVEDPFDEDDFEDFSQLRKD
FKDILIVGDDIYASNKERLKKGIEKNSSNGIIIKPNQVGSVSRIIDTIKY
AKENSIQIIVSHRSGETEDPFISHLATAFDAPLIKTGAVGGERMAKLNEL
IRIEEYLGSDSKLNNYISYMFK
</t>
  </si>
  <si>
    <t>ATGAGTGTAGATTCCTTAATTTCAGATTTAAGGCATAGAATAATATTTGA
TAGTAGAGGAGATAAGACAGTTGAAGCTACTGTTTTTCTAAAAAAGGTTA
AAGGAATAGCTTCATGTCCCTCAGGAATAAGCACTGGAATTTATGAAGTA
AAGAATCTTCCGAGCGGAGATTTAAGGAATAAAGTAAGGGAATTCAATGA
GCTTAGTAAAAAAGAACTTATTGGAAAAGATTCAGCAAATCAAAGAGAAA
TAGATGAAATCTTACATAAGATAGATGGTACTGAAGACCTTTCAAATTTT
GGAGCGGTTAATATTCTATCTACTTCAATAGCCAACATTAAAGCCTATGC
TTATTTTTTAGATGAACAAATATTCAAGGTAATCAACAAAAAATCAAAAT
ATACTTTACCTATTCCTTTAGGCAACATGATAGGAGGAGGGAAACATGCA
AGAGGGCTTTCGATAGATTTGCAGGAAATTCTTGTTGCGTGTAAAAATGC
TGAGAATATCTACCAAGCAATAGAGGCAAATACACTTTTGCATAAGAAAT
GCTTTCAAATATTGAGCAAAGAAGATATGTATTTCTCAGGAGGAAAAAAC
GATGAAGGAGCGTGGATTACACGAATAGGTAACAGGAAGGCTGTTGAAAT
AGTAAAAAAAGCAGTTCAGCAAGTTAAAAGCGAAAAGGGATATGATTTCA
TAATAGGTATTGATTTTGCTGCTTCATCAATTTTTGATAAACGAAGATCT
ACTTATAATTACAAGCTTGAAAAAATAAACTTAAACAGAGAGCAGCAATA
CAAATTTGTTTCTAGTTTAATTGAGGAATTTAACATAAGTTTTGTTGAGG
ATCCTTTTGATGAGGACGATTTTGAAGATTTTTCTCAACTGAGAAAAGAC
TTTAAAGACATCCTTATAGTAGGGGATGATATTTATGCTTCTAATAAAGA
AAGATTGAAGAAAGGTATAGAAAAAAATTCTTCAAACGGAATAATAATCA
AACCAAATCAGGTAGGAAGTGTAAGTAGAATAATAGATACGATAAAATAT
GCAAAAGAGAACAGTATTCAAATAATAGTTTCACACAGATCTGGTGAAAC
GGAAGATCCATTCATTTCTCATTTAGCTACAGCCTTTGATGCACCTTTAA
TAAAAACAGGTGCTGTAGGAGGAGAAAGAATGGCTAAACTAAATGAACTG
ATAAGAATAGAGGAATACTTAGGAAGTGATTCAAAGTTAAATAACTATAT
TAGCTATATGTTTAAATAA</t>
  </si>
  <si>
    <t>2.7.1.40</t>
  </si>
  <si>
    <t>cren1_8best_scaffolds_00014680</t>
  </si>
  <si>
    <t>pyruvate kinase</t>
  </si>
  <si>
    <t>MRKTKIIATLGPKSIDKVKDLAKYVDVFRINFAYGNEETHKQYFDAIIDS
KKNAAILVDLPGQKIRIGELKEKMFLKRGDLIVFSQTEGVPVEDTIFYST
VKEGHEIIIGDGNIKIRITKADDGRVEGYIIEGGLLTSRKGINIPRTQIP
SGITENDLILLNEALKLGADFIGLSFVLSEKDVIRAKEIAKDKAWIISKI
EKIQALKRLRAIIEASNGIMVARGDLGIEIGIEKVPFVQKRIVEIAKSLA
KPVIVATQVLESMVNNPIPTRAETTDVVNAINEGVDAILLSDETAEGNYP
VEAVRYLHRIISFAEMKVMNQKKPKLKGADDAIALATLNVAEISKAKIIV
AHSRSGNSIIRVARFRPSIPILGICPSIDLAKKLNICYGVIPIVSKKKMK
NINEIIMFAEKTVKRNFKYKGTIVITGGDPKLEEGRTDFIKLHNLN</t>
  </si>
  <si>
    <t>ATGAGAAAAACAAAAATAATAGCAACTCTAGGACCTAAATCGATTGATAA
AGTTAAGGATCTTGCCAAATACGTCGATGTATTTAGAATAAATTTTGCAT
ACGGAAATGAAGAAACACATAAACAATATTTCGATGCAATAATTGATTCA
AAGAAGAACGCTGCAATATTGGTTGATCTTCCAGGTCAAAAAATAAGAAT
CGGTGAATTGAAAGAAAAAATGTTTTTAAAAAGAGGTGATTTAATAGTTT
TTTCACAAACTGAAGGAGTGCCTGTTGAGGATACAATATTCTACAGTACA
GTTAAAGAAGGACACGAAATAATTATAGGTGATGGAAACATTAAAATAAG
AATAACGAAAGCGGATGATGGGAGAGTTGAAGGATATATTATTGAAGGAG
GACTACTCACTTCAAGGAAGGGCATCAACATACCTAGAACCCAAATTCCT
TCGGGAATCACTGAAAATGACTTAATTCTTTTGAATGAAGCGCTCAAGCT
AGGTGCTGATTTCATAGGTTTGTCATTTGTTTTAAGCGAGAAAGATGTAA
TAAGAGCAAAGGAAATTGCAAAGGATAAAGCATGGATTATTTCTAAAATT
GAAAAAATTCAAGCTTTGAAAAGACTTAGGGCTATAATTGAAGCTAGCAA
TGGAATTATGGTAGCAAGAGGAGATCTAGGAATTGAAATAGGAATTGAAA
AGGTTCCTTTTGTTCAAAAGAGAATTGTTGAAATAGCGAAATCTTTAGCA
AAGCCTGTGATCGTTGCAACACAGGTTCTAGAATCCATGGTAAACAATCC
AATACCTACAAGGGCTGAAACAACCGATGTTGTAAACGCCATAAATGAGG
GTGTTGATGCAATATTACTTTCAGATGAAACAGCTGAGGGTAATTATCCT
GTTGAAGCTGTTCGGTACTTGCACAGAATAATTAGCTTCGCTGAAATGAA
AGTTATGAATCAGAAGAAACCTAAGCTAAAAGGAGCTGACGATGCGATTG
CTTTAGCAACTTTAAACGTTGCAGAAATTTCAAAAGCGAAAATTATTGTT
GCACATAGTAGAAGTGGAAACTCAATAATTAGAGTGGCTCGATTTAGACC
TAGTATACCGATTTTGGGAATATGTCCTTCGATAGATCTTGCAAAAAAAT
TGAACATATGTTATGGAGTAATACCCATCGTTTCAAAGAAGAAGATGAAA
AATATAAACGAAATAATAATGTTTGCTGAGAAAACAGTCAAGAGAAATTT
CAAATACAAAGGCACCATTGTTATTACGGGAGGCGATCCTAAGCTAGAAG
AAGGAAGGACGGATTTCATAAAACTTCATAATTTAAATTGA</t>
  </si>
  <si>
    <t>cren1_8best_scaffolds_00012200</t>
  </si>
  <si>
    <t>Phosphoenolpyruvate synthase/pyruvate phosphate dikinase</t>
  </si>
  <si>
    <t>2.7.9.1</t>
  </si>
  <si>
    <t>MLFGKSKDFEEFMKLVDETRELRVRANADTPDDALKAREYGAEGIGLLRT
ERMFRVPGRLELFRLVIMARNREERIKYLEELLPLLKKDFKEILQIMSPH
PVTIRLFDPPLHEFLPKTDELLKEIYETKDERKKEELIKIYKVVRALSES
NPMMGHRGVRVGITYPEIYYTQAKAIFLAVGELIKEKVPVDVEIMIPQVA
DFNELYKVKKEIVERAHEEVKKTTGINIPYKFGTMIEVVRACLIADELAK
IADFFSFGTNDLTQATFTFSRDDAENKFLPFYLENKILENNPFETLDVKG
VGKLVEIAVEKGRKTNPNIKIGVCGEHGGDPESIHFFHNVGLDYISASPF
RIIVARLAAAHATILNKKRKH</t>
  </si>
  <si>
    <t xml:space="preserve">ATGCTTTTTGGAAAATCCAAAGATTTCGAAGAATTCATGAAACTTGTAGA
TGAAACAAGAGAGCTTAGAGTTAGGGCAAATGCTGATACGCCCGATGACG
CTTTAAAAGCAAGAGAGTACGGAGCTGAAGGAATAGGCTTGCTTAGAACA
GAGAGAATGTTTAGGGTGCCAGGAAGACTTGAGTTATTTAGGTTGGTGAT
AATGGCAAGAAATAGAGAAGAAAGAATTAAATACTTAGAGGAATTGCTTC
CTCTTCTTAAAAAAGATTTTAAGGAAATTTTGCAAATCATGTCTCCTCAC
CCTGTCACAATAAGACTGTTCGATCCTCCTTTGCATGAATTTCTTCCAAA
AACAGACGAGCTCTTAAAAGAAATTTATGAAACAAAAGATGAAAGAAAAA
AGGAAGAGCTAATTAAAATTTACAAAGTAGTAAGAGCTTTAAGTGAATCA
AATCCAATGATGGGTCACAGAGGGGTTAGGGTTGGAATTACATATCCTGA
AATATACTACACTCAGGCTAAGGCAATTTTCTTGGCTGTTGGTGAGCTCA
TAAAAGAAAAGGTACCTGTGGATGTTGAAATAATGATACCCCAAGTAGCG
GATTTCAATGAGCTTTATAAAGTAAAGAAGGAGATAGTAGAAAGGGCTCA
TGAAGAAGTAAAGAAAACTACAGGAATCAACATACCTTATAAATTTGGGA
CAATGATCGAAGTCGTTAGAGCATGCTTGATAGCTGATGAATTAGCAAAA
ATAGCGGATTTCTTCAGCTTTGGAACAAACGATTTAACTCAAGCTACCTT
TACATTCAGCAGGGATGATGCGGAAAATAAATTCCTACCTTTCTATCTTG
AAAACAAGATATTGGAAAATAATCCATTCGAAACTTTGGATGTAAAGGGA
GTAGGAAAGCTAGTAGAAATCGCTGTTGAAAAAGGAAGAAAAACCAATCC
AAACATTAAGATAGGAGTTTGCGGAGAACATGGGGGAGATCCTGAAAGTA
TTCACTTTTTCCATAATGTAGGGCTTGATTATATTAGTGCCTCGCCTTTC
AGAATTATAGTTGCTAGATTAGCTGCTGCACATGCAACAATATTAAACAA
AAAAAGGAAACATTGA
</t>
  </si>
  <si>
    <t>cren1_8best_scaffolds_00012210</t>
  </si>
  <si>
    <t>MDPLTKLVYTFEEADPENKKLFGGKGSSLILMSKLGMDVPPGFIIPTTVC
KMYYENGRKLPEKLMDEVRKGIEYIEEKTGKKFGDSSRPLLVSVRSGAPV
SMPGMMDTVLNLGINDSVAKGLAERINPRFAYDTYRRFLQMFGKIVLKID
EKKFNKVFEEIKGKYRALTDAELNEQALMEICEEYKQIIADEIKNNPELA
KYDVNDLLNNPWKQLELAIAAVFDSWNSPRAVYYRQVNNITPDIADGTAV
TIVTMVFGNLSYKSATGVLFSRNPSNGENELYGEFLQLAQGEDVVAGIRT
PRSIKELKDLMPEIYEKLYRYAKLLERNQKEVQDIEFTIEDGKLYMLQAR
NAKMSPIALIKTSVDMYKEGIITREEAILRVKPKDVVQLLYPRIDETKVK
GKPIAKGLPSSPGAAIGKVVFNADRAVELSKEGHKVILVREETKPDDVHG
FYASVGILTSKGGMTSHAAVVARAIGKPCVVGCEEIKIDYDNRLFRVGDL
VVKKVI</t>
  </si>
  <si>
    <t>ATGGATCCATTAACAAAACTCGTATATACCTTTGAAGAAGCTGATCCTGA
AAATAAAAAGTTATTCGGTGGAAAAGGAAGCAGCTTGATATTGATGAGTA
AACTCGGAATGGATGTCCCTCCTGGCTTTATAATTCCTACTACTGTATGC
AAAATGTATTATGAAAATGGAAGGAAGCTTCCCGAAAAGCTAATGGATGA
AGTTAGAAAAGGAATAGAATACATTGAAGAAAAAACAGGCAAAAAATTTG
GAGATTCTTCAAGACCTTTACTTGTTTCTGTAAGGTCGGGCGCTCCAGTT
TCAATGCCTGGTATGATGGATACCGTGCTCAATTTAGGAATAAATGATTC
TGTAGCTAAAGGTTTGGCTGAAAGAATCAATCCAAGATTTGCATATGATA
CTTATAGAAGATTTTTACAAATGTTCGGGAAAATCGTTTTAAAAATAGAT
GAAAAGAAGTTTAACAAAGTTTTTGAAGAAATAAAGGGCAAATATCGGGC
ATTAACCGATGCTGAATTAAATGAACAAGCTTTAATGGAAATTTGTGAAG
AATACAAGCAGATTATAGCTGATGAGATTAAAAACAATCCGGAATTGGCT
AAATATGATGTGAATGATTTGCTTAATAATCCGTGGAAGCAGCTCGAGCT
AGCAATTGCAGCTGTTTTTGATTCTTGGAATTCACCTAGGGCAGTTTACT
ATAGACAAGTGAATAATATAACTCCAGATATCGCTGATGGTACTGCTGTA
ACTATCGTAACAATGGTCTTTGGAAACCTTTCTTACAAATCTGCTACGGG
AGTACTATTTTCTAGAAATCCTTCAAATGGAGAAAATGAATTATATGGAG
AGTTTCTCCAACTTGCGCAAGGAGAGGATGTTGTGGCAGGAATTAGAACA
CCGAGAAGCATAAAAGAATTAAAAGATTTGATGCCAGAAATTTACGAAAA
ACTTTACAGATATGCAAAGCTTTTAGAAAGGAATCAAAAAGAGGTACAAG
ATATAGAGTTTACAATTGAAGATGGAAAGCTTTACATGTTACAGGCAAGA
AATGCCAAGATGAGTCCTATAGCTTTGATAAAAACAAGCGTAGATATGTA
TAAAGAAGGAATAATAACTAGGGAAGAGGCTATATTAAGGGTTAAACCAA
AAGACGTAGTTCAACTATTGTATCCTAGAATAGATGAAACGAAAGTTAAA
GGTAAGCCCATTGCAAAAGGTCTTCCCTCATCTCCAGGAGCTGCCATTGG
GAAAGTTGTTTTTAATGCTGATAGAGCTGTAGAGTTGTCAAAAGAAGGGC
ATAAAGTCATCTTAGTAAGGGAAGAAACCAAGCCTGACGACGTTCATGGT
TTTTACGCTTCTGTGGGTATACTCACCTCAAAAGGCGGTATGACAAGTCA
TGCAGCAGTTGTAGCTAGAGCTATAGGTAAGCCTTGTGTAGTTGGATGTG
AAGAAATAAAGATAGACTATGATAATAGACTTTTTAGGGTTGGAGACCTC
GTAGTAAAGAAGGTGATATAA</t>
  </si>
  <si>
    <t>1 Fumarate + 1 H2O  = 1 L-Malate</t>
  </si>
  <si>
    <t>Pyruvate/2-oxoglutarate dehydrogenase complex, dehydrogenase (E1) component, eukaryotic type, alpha subunit</t>
  </si>
  <si>
    <t>Pyruvate/2-oxoglutarate dehydrogenase complex, dehydrogenase (E1) component, eukaryotic type, beta subunit</t>
  </si>
  <si>
    <t xml:space="preserve"> 
Pyruvate/2-oxoglutarate dehydrogenase complex, dehydrogenase (E1) component, eukaryotic type, alpha subunit</t>
  </si>
  <si>
    <t>cren1_8best_scaffolds_00003410</t>
  </si>
  <si>
    <t>cren1_8best_scaffolds_00003420</t>
  </si>
  <si>
    <t>cren1_8best_scaffolds_00011380</t>
  </si>
  <si>
    <t xml:space="preserve">MEIRKVQGASLSEIDTDPLKLLRKMVEIRKFEEKIEELFLVKGTLIGPAH
LYLGQEAVAVGICSTLSKEDYVITSYRCHGHAIAKGVSLKKLMAEMFGKK
TGTCKGLGGSMHAAISLEDGLVYATAIVGSQIPIAAGLALANKYLNKKIA
TVCFFGDGATNTGAFHEGINLASLWKLPVLYVCENNLYAEFTHITRSLSS
RSVAERASSYNMKVIVVDGNDVVSVYKAAKEAVTEIRNLNGPIFIEARTY
RMKGHGVYDQAKYRDPKEVEEWLKRDPIKIFKKRLIEEGIMDEKDYERIE
NEVTKEIEEAVNFAFESELLNFEELYKLVYVE
</t>
  </si>
  <si>
    <t xml:space="preserve">MREITFVEALREALREEMKRNDKIIILGEDVGKYGGVYRVTQGLIEEFGE
NRVLDTPISEIAIVGAAIGAALGGLKPIAEIMYMDFAMIAMDQIVTQAAK
MRFMSGGQLKVPIVIRTQYSLGRAHGSQHSQFYPSWFVNSPGIKVVLPST
PYDAKGLLKSSIRDDNPVLFIECGVLYRSKGNVPEEEYTIPLGKAEIKKR
GEDLTIIAVSRCVHEALKAANKLEEKGINAEVIDLRTLVPLDVETIVNSV
KKTGKVVIASDDVKYCSIASEIAMTVMENAFDYLDGPIVRVTSPPLPVPF
SPELEKAYMVSDVKILNKIEEAFGYKLS
</t>
  </si>
  <si>
    <t>MSYFQILNERGEPNEVLLKTVDLRNEDLYKFYKYMLTARILDSWMLRLQR
MGKVALHGPNEGQEAIGAGTGYAARPEDWFFPSYRQISLLITRGVKISDI
LNRWMANKYDVMKGHEFNLYGFKDFHIVTGTTPIAVHIPSAVGFAHAAKI
RKEKIVVLVYFGDGATSKGDFHEAINWAGVFKLPVFFVCENNQYAISQHV
SRQTASETLAIKGVAYGVKSMRVDGNDVLAVYKSAKEAIESARNYEPVFV
EYLTYRLGAHTTADDPRRYRSDEEVNYWRTKEPLIRLKNFLISQGIMTES
EEKSLRQELEATIEEEVKKAVEIPPPPIEVIFEDVYSDMPWHLKEQMETV
VKEYKEEQGE</t>
  </si>
  <si>
    <t xml:space="preserve">ATGGAAATAAGAAAAGTTCAAGGTGCGTCTTTGAGTGAAATAGATACCGA
TCCTTTAAAGCTTTTAAGAAAAATGGTTGAAATAAGGAAGTTTGAAGAAA
AAATAGAGGAATTATTCCTCGTAAAAGGGACTTTGATAGGACCTGCACAT
CTTTATTTAGGACAAGAGGCAGTTGCTGTAGGTATATGTAGCACATTAAG
CAAGGAAGATTACGTTATAACAAGTTATCGATGCCACGGTCATGCAATAG
CAAAGGGCGTAAGCTTAAAAAAGCTTATGGCTGAAATGTTCGGAAAGAAA
ACTGGTACTTGTAAAGGATTGGGAGGATCGATGCATGCAGCTATAAGTTT
AGAAGATGGATTAGTTTATGCTACGGCCATCGTTGGGAGCCAAATACCGA
TTGCTGCAGGACTTGCTCTTGCAAACAAGTATCTAAACAAGAAAATAGCC
ACTGTTTGCTTCTTTGGAGATGGAGCTACGAATACAGGAGCATTCCACGA
GGGAATAAATTTAGCTTCCCTTTGGAAGTTGCCTGTTTTGTATGTATGTG
AAAATAATTTATACGCAGAGTTTACACATATAACTAGAAGTCTATCTTCA
AGAAGCGTAGCTGAAAGGGCCTCCTCTTATAATATGAAGGTCATCGTTGT
TGATGGAAACGATGTAGTAAGCGTTTATAAAGCGGCAAAGGAAGCTGTAA
CTGAGATAAGAAACTTAAACGGACCAATATTCATTGAAGCAAGAACTTAT
AGAATGAAAGGTCACGGTGTTTATGATCAAGCTAAATACAGAGATCCTAA
GGAAGTAGAGGAATGGTTAAAAAGAGATCCTATTAAAATTTTCAAAAAAA
GACTTATCGAAGAGGGAATCATGGATGAAAAAGATTATGAAAGAATAGAA
AATGAAGTTACCAAAGAGATTGAAGAAGCTGTAAATTTCGCTTTTGAAAG
TGAGTTGCTTAACTTCGAAGAGCTTTATAAATTAGTTTACGTTGAATAA
</t>
  </si>
  <si>
    <t xml:space="preserve">ATGAGGGAAATAACTTTTGTTGAGGCTTTAAGGGAAGCTTTGAGAGAAGA
GATGAAAAGAAATGATAAAATAATAATCCTAGGTGAAGATGTAGGAAAAT
ACGGAGGAGTTTATAGAGTTACTCAAGGTTTGATTGAGGAATTTGGAGAA
AATCGAGTTCTTGATACACCTATTTCAGAAATTGCGATAGTAGGAGCGGC
AATAGGAGCAGCTTTAGGAGGCCTAAAACCTATAGCTGAAATAATGTATA
TGGATTTTGCTATGATTGCAATGGATCAGATTGTAACTCAGGCAGCAAAG
ATGAGATTTATGAGCGGTGGACAACTTAAGGTACCAATAGTTATTAGAAC
TCAGTATAGCTTAGGAAGAGCACATGGTTCACAGCATTCACAGTTTTATC
CTTCATGGTTTGTAAACAGCCCGGGAATAAAAGTTGTCCTACCATCAACT
CCCTATGATGCAAAAGGTTTACTTAAAAGTTCAATTAGGGATGATAATCC
AGTACTTTTCATCGAATGCGGAGTATTATACAGGAGTAAAGGCAATGTTC
CAGAAGAAGAATACACAATACCTTTAGGTAAAGCAGAAATAAAAAAGAGA
GGAGAGGATTTAACTATAATAGCTGTTTCAAGATGTGTTCATGAAGCTTT
AAAGGCCGCAAATAAACTTGAAGAAAAAGGCATTAATGCTGAGGTAATAG
ATTTAAGGACACTTGTCCCCTTGGATGTTGAAACAATAGTTAATTCGGTC
AAAAAAACAGGCAAAGTTGTTATAGCCTCTGATGATGTAAAGTATTGCAG
CATAGCTTCTGAAATAGCAATGACAGTGATGGAGAATGCTTTTGATTACT
TAGATGGCCCTATTGTAAGAGTTACCTCACCACCCCTTCCTGTTCCCTTT
AGCCCAGAATTGGAAAAAGCCTATATGGTAAGCGACGTTAAAATTTTAAA
TAAAATAGAAGAGGCTTTCGGTTATAAGCTAAGTTAG
</t>
  </si>
  <si>
    <t>ATGAGCTATTTTCAGATATTGAATGAAAGAGGAGAACCAAACGAGGTCTT
GCTAAAAACTGTAGATTTGAGAAATGAAGACCTATACAAATTTTACAAAT
ATATGTTAACAGCGCGTATCTTAGACAGCTGGATGTTAAGGTTACAAAGG
ATGGGCAAAGTAGCATTACATGGACCGAATGAAGGTCAAGAAGCAATTGG
TGCAGGTACAGGATATGCAGCAAGACCTGAAGATTGGTTTTTTCCTTCTT
ATAGACAGATAAGCCTTTTAATCACGCGTGGTGTAAAGATAAGCGATATT
CTCAATCGCTGGATGGCTAACAAGTACGATGTCATGAAAGGTCATGAATT
TAATCTTTATGGCTTCAAGGATTTTCATATTGTTACAGGTACAACGCCTA
TCGCGGTTCATATTCCTTCAGCTGTAGGCTTTGCTCATGCAGCAAAGATA
AGGAAAGAAAAAATTGTAGTGTTGGTTTATTTTGGAGACGGAGCAACATC
AAAGGGCGATTTCCATGAAGCTATTAATTGGGCTGGAGTTTTTAAACTGC
CAGTTTTCTTTGTTTGTGAAAACAATCAATATGCAATCTCCCAACATGTT
AGCAGGCAAACAGCTTCAGAAACACTCGCTATAAAGGGAGTTGCATATGG
AGTAAAAAGCATGAGGGTTGATGGAAACGACGTTCTAGCTGTATACAAAT
CAGCCAAGGAAGCTATAGAGAGTGCAAGAAATTATGAACCAGTTTTCGTC
GAATATCTAACCTACAGATTAGGGGCTCATACGACTGCTGACGATCCAAG
AAGATATAGGAGCGATGAAGAAGTAAATTATTGGAGAACAAAGGAGCCTT
TAATTAGGCTGAAGAATTTCTTAATCTCTCAAGGAATCATGACAGAAAGT
GAAGAAAAAAGTTTAAGACAGGAGCTTGAAGCAACAATTGAGGAAGAGGT
TAAAAAGGCCGTAGAAATTCCACCGCCTCCTATTGAAGTCATATTTGAGG
ATGTATATTCTGATATGCCTTGGCATCTTAAAGAACAGATGGAAACTGTT
GTTAAAGAATATAAAGAGGAACAAGGTGAGTAA</t>
  </si>
  <si>
    <t>Pyruvate/2-oxoglutarate dehydrogenase complex, dihydrolipoamide acyltransferase (E2) component, and related enzymes</t>
  </si>
  <si>
    <t>cren1_8best_scaffolds_00006200</t>
  </si>
  <si>
    <t>cren1_8best_scaffolds_00011360</t>
  </si>
  <si>
    <t>MDSGKIVKWIKNEGDNVNKGDPLVLIETEKITVEYPSPYSGRLEKIIHKE
GTVAVGEIIAYISPTQGKQEIREPFATPAARRLAREYNLDLSKIVGSGPQ
GRITAEDVMKHLKESSVTKPEEQEEKVSEYEIIELSKFRSTIAEKMSKSA
KNIPHVPLFFEVFFDEVYKMLDAFKKRNIELSLSSFIIKAAALALSKNLI
LNSSFEENKIRIYKKINIGYALETKEGLLVVVIRDADKKSLIEINKELEN
LKNKAASNKLELQDVLGSTFTITNLGPYGINYFIPIINYPQSAILAVGKI
EDTLKIFNNQYITKKSAILTLVFDHRVTDGAEACKFIKEFKELLENPLSL
II</t>
  </si>
  <si>
    <t>MVEKQIILPDIGEGISEGEIIRWLVKEGDQIKQFQPIVEVLTVKVNVEIP
SPFTGKIKKILAKEKEVVKVGSPIAIVEVEGVAEEKPKVEEKKPETLVSA
SQKVTEQVPAKPSAEILATPAVRRLARELGVDLSLVKGTGPGGRITEEDV
KRFAEEKKKLEVVKVAIPKEKEERIPVTGIRRMIAEKMSLAHNKAAMVTH
MDEADVTELVRIREYLKEEAEKLGIKLTYLPFIIKAAILALKKYPKFNAA
IDDEKKELVIKKYYNIGIAVATDQGLIVPVIKDADSKSLFELAKEIEVLS
EKARQGKLSIDEVTGSSFSITNIGPIGGTFATPILNYPDVAILGVMKIKK
KPWIVKDKIEIRDIMTLVLTFDHRVIDGAEAALFTNEIISILENPYRLLA
T</t>
  </si>
  <si>
    <t>ATGGATAGTGGCAAAATAGTAAAATGGATCAAAAATGAAGGTGATAACGT
CAATAAAGGCGATCCTTTGGTTTTGATCGAAACCGAAAAGATTACAGTGG
AATATCCTTCTCCTTATTCAGGTCGCTTAGAAAAAATTATTCATAAGGAA
GGTACCGTAGCAGTTGGTGAAATTATAGCATATATATCGCCAACTCAAGG
AAAACAGGAAATCAGAGAACCATTTGCAACTCCGGCAGCGAGAAGACTCG
CTAGGGAATACAATCTAGATTTATCTAAAATTGTGGGAAGTGGGCCTCAG
GGAAGAATAACAGCTGAAGATGTTATGAAACATTTAAAGGAAAGTTCTGT
TACTAAACCAGAAGAGCAGGAAGAAAAAGTCTCTGAATATGAAATAATTG
AATTATCCAAGTTTAGAAGCACAATTGCTGAGAAGATGTCTAAAAGTGCA
AAAAATATTCCTCATGTTCCTTTGTTTTTTGAAGTCTTTTTCGACGAGGT
TTATAAAATGTTAGATGCTTTCAAGAAAAGGAATATTGAATTATCCTTAA
GTTCTTTTATAATTAAAGCTGCTGCACTCGCGTTATCAAAAAATCTAATA
CTTAATTCATCTTTCGAAGAAAATAAAATCAGAATTTATAAAAAAATAAA
CATAGGATATGCGTTAGAAACCAAAGAGGGCCTTTTGGTTGTAGTAATAA
GGGATGCGGATAAAAAAAGCCTAATTGAAATCAATAAAGAGCTTGAAAAT
CTAAAAAATAAGGCAGCATCAAATAAATTAGAACTACAGGACGTTCTTGG
CTCTACTTTTACAATAACAAATCTTGGTCCATACGGCATTAATTATTTCA
TTCCGATTATCAATTATCCACAATCTGCTATTCTAGCTGTAGGTAAAATA
GAGGATACTCTGAAAATATTCAACAATCAATATATCACTAAAAAATCAGC
AATTTTAACCTTGGTCTTTGATCATCGTGTAACTGATGGTGCAGAAGCTT
GTAAATTTATAAAGGAGTTTAAGGAACTCTTAGAAAATCCACTTTCTCTT
ATAATTTAG</t>
  </si>
  <si>
    <t>ATGGTCGAAAAACAAATAATTCTACCAGATATTGGTGAAGGAATAAGCGA
AGGGGAAATAATTCGCTGGTTAGTTAAAGAAGGAGATCAAATAAAGCAAT
TCCAGCCAATCGTGGAAGTTTTGACTGTTAAAGTAAATGTAGAAATCCCT
TCTCCTTTCACGGGGAAAATAAAGAAGATATTAGCAAAGGAAAAGGAAGT
TGTTAAGGTTGGTTCTCCGATAGCAATAGTTGAAGTTGAAGGAGTCGCTG
AAGAGAAGCCAAAGGTAGAGGAAAAGAAACCTGAAACATTAGTATCTGCT
TCACAGAAGGTAACAGAGCAGGTTCCTGCTAAACCTTCAGCTGAAATACT
TGCAACACCTGCTGTTAGGAGACTTGCAAGGGAATTAGGAGTAGATTTAT
CTTTAGTTAAAGGAACAGGACCTGGTGGCAGAATAACTGAAGAGGATGTG
AAAAGGTTCGCTGAAGAAAAGAAAAAGCTAGAAGTTGTAAAAGTTGCAAT
TCCAAAGGAGAAAGAAGAAAGAATTCCTGTCACAGGAATAAGAAGAATGA
TTGCTGAAAAGATGTCCTTAGCACATAACAAAGCAGCTATGGTTACGCAT
ATGGATGAAGCTGATGTAACCGAGCTTGTAAGAATAAGAGAATATTTAAA
GGAAGAAGCTGAAAAACTTGGAATAAAACTTACTTACCTGCCGTTTATTA
TAAAAGCAGCAATACTTGCTTTGAAAAAGTATCCTAAGTTTAATGCTGCT
ATAGATGATGAAAAGAAAGAGCTTGTTATTAAGAAATATTATAATATAGG
AATTGCAGTTGCAACAGATCAAGGATTAATAGTACCAGTAATAAAGGATG
CCGATTCTAAAAGTTTATTTGAACTGGCAAAAGAAATTGAAGTACTTTCA
GAGAAAGCTAGACAAGGTAAGCTTTCCATAGATGAAGTAACAGGAAGTAG
CTTTTCAATAACCAACATTGGACCTATAGGTGGAACATTTGCTACTCCGA
TACTAAACTATCCAGATGTTGCTATATTGGGGGTAATGAAGATAAAGAAG
AAACCTTGGATTGTTAAAGATAAAATAGAGATAAGGGATATAATGACTTT
AGTTTTGACCTTTGATCATAGGGTGATTGATGGCGCAGAGGCAGCATTAT
TTACAAATGAAATAATATCTATATTAGAGAATCCTTACAGGCTACTAGCT
ACTTAA</t>
  </si>
  <si>
    <t>dihydrolipoamide dehydrogenase</t>
  </si>
  <si>
    <t>cren1_8best_scaffolds_00011300</t>
  </si>
  <si>
    <t>MINLMVKKFDVAIIGAGPGGYVAGIRAGQLGKKTVVIDKDKLGGVCLNYG
CIPSKAIIHLAHMYRKIKWLEELGFGIEIKSIDFKKVQEWKRNVISRLIK
GINYLFQNYGVEYINAEAKVEDNHNIRIVSKDMEDEIYAENIIFAQGSKP
AELPNIKFDGNIVIDSTTALELTEIPKEFLVIGGGAIGLELGFAYQNFGS
NLYVVEIMDQLLPGFDKEISDVLKRTIEKRGGKVFLNSSVVNIEIKNNKA
KVTVNKKEGIEEIEVDKILLSVGRIPNDIKEDAIKSGVETDKKGFIKVDE
FQRTNISNIYAIGDITGPPYLAHRASKQGIVAAEVISGMKSAYDYRAIPS
AFFTDPEVVSVGLSYEEASKNRNVITGKFPFIALGRALSYGFSEGFVKVV
ADKDTKVILGFQMVGEGVSDLSGEAALAIEMAATLEDVGFVMHPHPTLTE
AIMESAESALKKAIHIVNK</t>
  </si>
  <si>
    <t xml:space="preserve">ATGATTAATTTAATGGTAAAGAAATTTGATGTAGCTATTATAGGAGCAGG
TCCTGGAGGATATGTTGCGGGAATAAGAGCAGGGCAATTGGGTAAGAAAA
CAGTTGTTATAGATAAGGATAAACTTGGAGGTGTTTGCTTAAATTATGGT
TGTATTCCTAGCAAAGCAATAATTCACTTAGCTCATATGTATAGGAAAAT
AAAGTGGTTAGAAGAATTAGGTTTTGGAATTGAAATAAAATCAATAGATT
TTAAAAAAGTTCAAGAATGGAAAAGAAACGTAATTTCAAGGCTGATAAAA
GGAATTAATTATCTTTTTCAAAATTACGGTGTTGAATATATCAACGCTGA
AGCCAAAGTGGAAGACAATCACAACATTAGAATCGTATCTAAGGATATGG
AAGATGAAATCTATGCTGAAAATATAATTTTTGCACAGGGATCAAAGCCT
GCAGAACTTCCAAATATTAAGTTTGATGGAAACATTGTAATAGATTCAAC
AACCGCTTTAGAATTAACGGAAATTCCTAAAGAATTCCTTGTAATAGGTG
GAGGAGCAATTGGTCTTGAATTAGGATTTGCTTATCAAAACTTTGGTAGC
AATTTATACGTAGTTGAAATAATGGATCAACTTTTGCCAGGCTTTGATAA
AGAAATTTCAGATGTTTTAAAAAGGACAATAGAAAAGAGAGGAGGAAAAG
TTTTCTTAAATTCCTCTGTTGTAAATATTGAAATAAAAAATAACAAAGCT
AAAGTAACGGTAAATAAAAAAGAAGGAATTGAAGAAATTGAAGTAGATAA
GATACTTCTAAGTGTAGGCCGTATCCCTAATGATATTAAGGAAGATGCTA
TTAAGTCAGGTGTTGAAACTGACAAAAAAGGCTTTATTAAGGTGGATGAA
TTTCAAAGAACAAATATTTCAAACATTTATGCAATAGGAGACATTACTGG
CCCTCCTTATTTAGCACATAGAGCTTCTAAGCAAGGAATTGTAGCCGCTG
AGGTGATTTCTGGAATGAAAAGTGCTTATGATTACAGAGCTATTCCTTCA
GCGTTTTTTACAGATCCTGAAGTAGTTTCAGTTGGATTAAGTTATGAAGA
AGCATCGAAGAATAGAAATGTGATTACGGGTAAGTTCCCTTTCATTGCAT
TGGGAAGAGCATTATCGTATGGTTTCTCAGAAGGATTTGTGAAAGTTGTA
GCTGATAAAGATACAAAAGTAATATTAGGTTTTCAGATGGTAGGTGAAGG
CGTTTCTGATTTATCAGGTGAAGCAGCTTTAGCTATAGAAATGGCAGCTA
CCCTTGAAGATGTAGGTTTTGTAATGCATCCGCACCCAACATTAACCGAG
GCTATCATGGAATCTGCAGAGAGCGCATTGAAAAAAGCTATACATATTGT
AAATAAGTAA
</t>
  </si>
  <si>
    <t>2-methylcitrate synthase/citrate synthase II</t>
  </si>
  <si>
    <t>Citrate synthase</t>
  </si>
  <si>
    <t>cren1_8best_scaffolds_00001610</t>
  </si>
  <si>
    <t>cren1_8best_scaffolds_00011220</t>
  </si>
  <si>
    <t xml:space="preserve">MSVKFSPGLEDTIIKQTSLTFIDGINGILRYRGYDIEDLVKNCIFEELIY
LMLYGDLPNRQELNEIKEKINKNYQVPEEVIRMIYSLPREANAVGMMESA
FGMLASIYDPKWEKTLNRDVAISVIAKTATITANIYRAKEGLKPNNPKIK
STYAETFLSTAFDRNVSEEEISSMNAALILYADHEVPASTTAGLVACSTL
SDMYSSITSALAALKGPLHGRAAEDAFNQFVEIGSLNKVEEWFEEKIIKG
KNRLMGFGHRVYKTYDPRAKIFKSLAESLSKKNEKANEYFKIANKLEEIG
IKHFSEKKIYPNTDFYSGILFYSIGFPVYMFTALFALSRVLGWCSHFIEY
VEEQHRLIRPRAIYIGPEKREFKKIDQR
</t>
  </si>
  <si>
    <t>MENVNYIKAPKGLENVIVDKSSISVSDPEGKLIYRGYSIDDLANNSFFEE
VAYLILKGHIPTHEELIDFISLLKAERNVPQEIYDLFEKLKGKYLTPIDM
QKIGVALIAAYDESWYVQDTDGLFLKAIKIISKLATVTANGYRIIFKDLK
PVEPSNEFMHAENFLYMLTGTKPNSFFSKILDITMILYMDHDFNASTFTT
RAIASTLSDIYSAILGGLSALKGPLHGGANEKAAEMVIKFKNPEEAEKYI
LESLAKKEKIMGFGHRVYKKFDPRSEIAKKLFKKFVERYSKFSDMLSVME
KIEEVMKREKDIPSNVDFWIGPLYYAMGIDIPLYTPIFALSRVVGWSAHY
IEQITNNKLIRPKAEYVGPLELKFPYKRDFINKL</t>
  </si>
  <si>
    <t xml:space="preserve">ATGTCCGTCAAATTCAGTCCAGGCCTTGAAGATACCATAATAAAACAAAC
TTCTTTGACCTTTATAGATGGAATAAACGGGATTCTAAGATATAGAGGAT
ATGATATAGAAGATTTAGTAAAAAATTGTATATTCGAGGAATTGATCTAC
TTAATGCTTTACGGAGATCTGCCAAATAGGCAAGAATTGAACGAAATTAA
AGAAAAAATTAACAAGAATTATCAGGTTCCTGAAGAAGTTATAAGGATGA
TTTATTCTTTACCAAGGGAGGCAAATGCGGTAGGAATGATGGAATCTGCC
TTTGGAATGCTAGCTTCTATCTATGATCCTAAGTGGGAAAAAACTTTAAA
CAGAGATGTTGCTATTTCAGTAATTGCAAAAACAGCTACAATAACTGCAA
ATATCTATAGGGCAAAGGAAGGACTTAAACCAAATAATCCAAAGATTAAG
TCTACATATGCAGAAACCTTTCTTTCTACTGCTTTCGATAGAAATGTATC
TGAAGAAGAAATTAGCTCAATGAATGCAGCTCTTATACTTTATGCTGATC
ATGAGGTTCCAGCGTCTACAACTGCAGGATTGGTTGCATGCTCTACTCTT
TCAGATATGTATTCTAGTATTACTTCTGCATTGGCAGCACTAAAAGGTCC
ATTGCATGGAAGAGCTGCTGAAGATGCTTTTAATCAATTTGTAGAAATTG
GTTCATTGAATAAAGTTGAGGAATGGTTTGAGGAAAAAATTATAAAAGGG
AAAAACAGGCTAATGGGATTCGGTCATAGAGTGTACAAAACTTATGATCC
TAGAGCTAAAATATTCAAATCATTAGCAGAATCACTTTCAAAGAAAAATG
AAAAGGCCAATGAATATTTTAAAATAGCAAATAAATTAGAGGAAATAGGA
ATTAAACATTTTTCAGAAAAGAAAATATATCCTAACACAGATTTTTATTC
AGGCATCCTTTTTTACTCAATAGGTTTTCCTGTGTATATGTTTACTGCTT
TGTTTGCTTTATCGAGAGTTCTAGGCTGGTGTTCTCATTTTATAGAGTAT
GTCGAAGAGCAACATAGATTGATAAGACCGAGGGCAATTTATATAGGGCC
TGAAAAAAGAGAGTTTAAGAAAATTGACCAAAGATAG
</t>
  </si>
  <si>
    <t>ATGGAGAACGTTAATTATATAAAGGCTCCAAAAGGCCTTGAGAACGTAAT
AGTTGATAAAAGTTCAATTTCTGTAAGCGACCCTGAAGGAAAATTAATCT
ATAGAGGCTACAGTATAGATGATTTAGCTAACAATTCTTTCTTTGAAGAA
GTAGCATATCTAATTCTTAAGGGACATATTCCTACACATGAGGAACTCAT
TGATTTTATATCGTTGCTTAAAGCTGAGAGAAATGTTCCTCAAGAGATTT
ACGATCTATTTGAAAAATTGAAAGGAAAATACCTTACACCAATTGATATG
CAAAAAATAGGTGTAGCTCTTATTGCAGCGTACGATGAAAGTTGGTACGT
GCAAGATACTGATGGTCTGTTTCTTAAAGCTATTAAAATAATATCTAAAT
TAGCTACAGTCACTGCAAACGGGTATAGAATAATTTTCAAAGATCTAAAA
CCTGTAGAACCTTCAAATGAGTTCATGCATGCTGAGAATTTCCTTTACAT
GCTAACTGGAACCAAGCCAAATTCTTTCTTTTCCAAGATTCTCGACATTA
CAATGATACTTTATATGGACCATGATTTCAATGCGTCTACATTTACAACA
CGTGCTATAGCGTCTACTTTATCTGATATTTACTCAGCTATCTTAGGGGG
CTTATCCGCTCTAAAAGGTCCATTGCATGGTGGAGCTAATGAAAAGGCTG
CTGAAATGGTAATTAAATTTAAGAATCCTGAAGAAGCTGAAAAATATATT
CTTGAATCTTTAGCTAAAAAAGAAAAGATTATGGGATTTGGACATAGGGT
GTATAAGAAATTTGATCCTCGATCAGAAATCGCAAAAAAGCTTTTCAAAA
AATTCGTAGAAAGATATTCGAAATTTAGCGATATGCTTAGCGTTATGGAA
AAAATTGAAGAAGTCATGAAAAGGGAAAAAGATATTCCTTCAAATGTTGA
TTTCTGGATAGGACCTTTATACTACGCTATGGGTATTGATATCCCACTTT
ACACCCCAATTTTTGCCTTATCGAGAGTTGTTGGATGGTCGGCACACTAC
ATTGAACAAATCACAAATAATAAATTAATAAGACCGAAGGCTGAGTATGT
GGGTCCTTTAGAACTTAAATTCCCCTATAAAAGGGATTTTATAAATAAAC
TCTAA</t>
  </si>
  <si>
    <t>aconitate hydratase 1</t>
  </si>
  <si>
    <t>cren1_8best_scaffolds_00014660</t>
  </si>
  <si>
    <t>MDIETKRFQVNSSELIYFPLKQFEERGYKISKYPYSIKVLIENVARNLDG
KKITQEDLESILKWEVGKELAIMPTRVLLQDYTGVPLIVDLAAMRSEVKR
RGIDPKIVNPIIPSDLIVDHSIQVDYFGTKYAFYLNLKTEYERNKERYML
LKWAKESFSNLRIVPPGNGIIHQVNLEYLSKVISSENVRGNTFAFPELVI
GTDSHTTMANGLSVLSWGVGGLEAEAVMLGEPYYMTVPEVIGVKIVGEIK
EGTTPTDVVLFITETLRKKGVVGKFVEFFGPSLSLLSVPDRATIANMSPE
YGATAAYFPIDDQTLEYLKNTARSTEIVEKYVKLQGLFYSYEPLYSDVVE
IDLSEIEPSLAGPRNPDERIPLSKVKEEILKIIQKKRKGKFVEDGSVAIA
SITSCTNTSNPTVMLGAGILAKKAVELGLRVKPYVKTSIAPGSTVVTEYL
KNTGLMPYLEALGFHIVGYGCTTCIGNSGPLLKQVEADVIENKISVFGVI
SGNRNFEGRINPYLRGTFLASPILVVTYAIAGSLDIDLYNEPISYDSNGM
PVYLKDIWPKLSEIKQYINHAFNPELYKIKYERIFEGDENWNTLNVERSD
VFKWDENSTFIKEPPWLTMKEENVGDIKGARILLLLGDKITTDHISPAGP
IQPESPAGKYLLSLGVKDLNTYGSRRGNHEVMLRGGFANPKLKNYLVEVE
GGYTKHLPDGQILTVYEASEIYKKENVPLVIVAGKQYGSGSSRDWAAKVT
KLLGVRAVLAESFERIHRSNLVAMGVLPIQIKNWKELGIKGDEIVNIYGL
DDIRPKKEVSIEFIGNDGNVIRTKGILMIETEVEVNYIKHGNILKYVLNK
MIQISNLDNQSRI</t>
  </si>
  <si>
    <t>ATGGATATTGAGACTAAAAGATTTCAAGTGAATAGCTCAGAGCTTATTTA
TTTTCCTTTGAAGCAGTTTGAAGAGAGAGGATATAAAATAAGCAAGTATC
CTTATTCAATAAAAGTTCTTATAGAAAATGTAGCAAGGAATTTAGACGGA
AAGAAGATAACTCAAGAAGATTTGGAATCGATTCTTAAATGGGAAGTAGG
AAAGGAATTGGCTATAATGCCAACAAGGGTATTACTACAAGACTATACCG
GTGTTCCTTTGATAGTTGATTTAGCAGCGATGAGAAGTGAAGTAAAAAGG
AGAGGTATTGATCCAAAAATAGTAAATCCTATCATTCCTTCAGATCTTAT
AGTTGATCATTCAATTCAAGTAGATTATTTTGGAACAAAATATGCTTTTT
ATTTGAACCTAAAAACAGAATACGAAAGAAACAAAGAGAGATACATGCTT
CTTAAATGGGCAAAGGAAAGTTTTTCAAATCTAAGAATTGTTCCTCCAGG
AAATGGAATAATCCATCAGGTAAATCTTGAATATCTAAGCAAGGTTATTA
GTTCAGAAAATGTAAGAGGAAACACTTTCGCTTTCCCTGAACTAGTAATC
GGAACTGATTCACATACAACAATGGCAAACGGATTGAGCGTTCTATCCTG
GGGTGTTGGTGGGCTTGAAGCTGAAGCTGTAATGCTTGGAGAGCCTTATT
ACATGACTGTTCCTGAAGTCATTGGAGTTAAAATAGTTGGAGAAATAAAA
GAAGGAACAACACCGACTGATGTTGTTCTTTTCATAACTGAAACTTTAAG
GAAAAAAGGAGTTGTAGGAAAATTTGTAGAATTCTTTGGTCCTTCTCTAT
CTTTGCTATCCGTTCCAGATAGAGCTACAATAGCAAACATGTCTCCTGAA
TATGGTGCAACAGCTGCATATTTTCCAATAGATGATCAAACTTTGGAATA
TCTTAAAAACACAGCTCGTAGTACTGAGATTGTTGAGAAATATGTTAAGT
TACAGGGGCTATTTTATTCCTATGAACCCCTGTATTCAGATGTTGTTGAA
ATAGATTTATCAGAAATTGAACCATCATTAGCAGGTCCTCGCAATCCTGA
TGAGAGAATTCCTTTAAGTAAAGTAAAAGAGGAAATCCTTAAGATTATTC
AAAAAAAGAGAAAAGGAAAATTTGTGGAAGACGGCTCTGTAGCCATCGCT
TCCATAACTAGCTGCACAAATACTTCTAATCCTACGGTAATGCTTGGTGC
AGGAATATTAGCAAAGAAAGCTGTTGAACTGGGATTAAGAGTAAAGCCGT
ATGTGAAAACAAGCATAGCCCCCGGTTCAACGGTTGTAACAGAATACTTG
AAAAATACAGGATTAATGCCATATCTTGAAGCTTTAGGTTTTCATATCGT
AGGTTATGGATGCACTACATGTATAGGCAATTCTGGACCACTGCTAAAAC
AGGTTGAAGCCGATGTTATTGAAAATAAAATAAGCGTTTTTGGAGTAATA
AGCGGGAATAGAAATTTTGAAGGAAGAATTAATCCTTACTTAAGAGGAAC
TTTCTTGGCTTCTCCAATTCTTGTAGTAACGTATGCTATAGCTGGCTCTT
TAGATATAGATCTTTACAATGAACCGATTTCCTATGATTCGAACGGCATG
CCTGTCTATTTAAAAGACATTTGGCCTAAATTAAGCGAAATAAAACAATA
TATCAATCATGCTTTCAATCCTGAGCTTTATAAGATAAAATATGAAAGGA
TCTTTGAAGGGGATGAAAACTGGAACACTTTAAATGTTGAAAGGAGCGAT
GTATTTAAGTGGGACGAAAATTCAACTTTCATAAAGGAACCACCTTGGTT
AACCATGAAAGAAGAGAATGTTGGCGATATTAAAGGTGCCAGAATTTTGC
TTTTACTTGGAGATAAGATAACAACAGATCATATTTCACCTGCAGGTCCT
ATACAGCCTGAATCTCCTGCAGGAAAGTATTTACTATCCTTAGGTGTAAA
GGATTTAAACACATATGGTTCAAGAAGAGGAAATCACGAAGTAATGCTAA
GGGGAGGCTTTGCCAATCCCAAGCTTAAAAACTACTTAGTTGAGGTAGAA
GGAGGATATACAAAGCATTTACCTGATGGCCAAATATTGACTGTTTATGA
AGCTTCTGAAATTTACAAGAAAGAAAATGTCCCATTAGTAATAGTTGCAG
GGAAACAGTACGGTTCTGGAAGCTCAAGGGACTGGGCGGCTAAGGTTACT
AAGTTGTTAGGTGTGAGAGCGGTTCTTGCTGAAAGCTTTGAAAGAATTCA
TAGAAGCAATCTAGTAGCGATGGGTGTCTTGCCAATTCAAATCAAAAATT
GGAAGGAGCTTGGAATAAAAGGGGATGAAATTGTCAACATATACGGACTT
GATGACATTCGTCCAAAGAAGGAAGTTTCAATAGAGTTTATTGGAAATGA
TGGTAATGTAATAAGAACAAAAGGGATTTTGATGATTGAAACTGAAGTTG
AAGTAAACTACATTAAGCATGGGAACATACTTAAATATGTTTTGAATAAA
ATGATTCAAATTTCGAATTTAGACAATCAGAGCAGGATTTAG</t>
  </si>
  <si>
    <t>Isocitrate/isopropylmalate dehydrogenase</t>
  </si>
  <si>
    <t>cren1_8best_scaffolds_00018170</t>
  </si>
  <si>
    <t xml:space="preserve">MVTHKVALIPGDGIGPEVTSLTLKVLEAAEVPIEFEVFELGEPAIKKYND
PAPAELLQELKKYNVMLKGPLTTPIGTGYRSVNVTLRKYFDTYAVVRPAK
SLPVSWLYHDVPRYSNVDIVLVREATEEFYAGIEHDILAAGERVAAETIG
VVTRKGSERVIRFAFEYARKNKRKKVTVVTKANVLKLTGGLFLEVFREVA
KDYPELEKEEMLVDNMAMQLVLRPKDYDVIVTTNLMGDILSDLISGLIGG
LGVAPSSNIGDKYAIFEPVHGSAPKYTNQWKVNPTAEMLTATSMLRYIGL
NEKAELIEKAIFKTLEEKKVLTYDMVRILRNAGIADIKESSNKEFTEEII
RNLKALM
</t>
  </si>
  <si>
    <t>ATGGTAACACATAAGGTAGCTTTAATACCTGGAGACGGAATAGGTCCTGA
AGTAACAAGCTTAACATTAAAGGTTCTTGAAGCTGCAGAAGTCCCAATAG
AATTTGAGGTTTTTGAGCTTGGAGAACCTGCGATAAAAAAATATAATGAT
CCAGCACCTGCAGAGCTTCTTCAGGAATTGAAAAAATATAATGTAATGTT
AAAAGGTCCACTTACAACACCTATAGGTACTGGATATAGAAGTGTTAATG
TTACATTGAGAAAATACTTTGATACATATGCAGTTGTTAGGCCTGCTAAA
TCATTGCCTGTAAGCTGGCTTTACCACGATGTCCCAAGATATTCGAACGT
TGATATAGTATTAGTAAGGGAAGCAACTGAGGAATTCTATGCAGGAATCG
AACACGATATACTGGCTGCAGGAGAAAGAGTTGCAGCTGAAACAATAGGG
GTTGTAACGAGAAAGGGGAGTGAAAGGGTAATAAGATTTGCCTTTGAATA
TGCAAGAAAAAATAAGAGAAAAAAAGTTACAGTAGTTACAAAAGCGAATG
TACTAAAACTTACAGGAGGATTGTTTTTAGAGGTATTTAGAGAGGTAGCT
AAAGATTATCCTGAACTAGAAAAGGAAGAAATGCTCGTTGATAATATGGC
CATGCAACTTGTTTTGAGACCAAAAGACTATGATGTTATAGTTACTACGA
ACCTAATGGGAGACATACTTAGCGACCTAATATCTGGATTGATAGGAGGC
CTCGGTGTTGCCCCAAGTAGCAATATAGGGGACAAATATGCGATATTTGA
ACCTGTTCATGGTTCTGCACCCAAGTATACAAATCAATGGAAAGTTAATC
CAACAGCGGAAATGTTAACAGCTACGAGTATGCTCAGATACATAGGATTA
AATGAAAAAGCTGAACTTATTGAAAAAGCCATATTCAAAACCCTAGAAGA
AAAGAAAGTTTTAACTTACGATATGGTAAGAATATTGAGAAATGCAGGTA
TCGCTGATATAAAGGAAAGTAGTAATAAGGAATTTACAGAAGAAATTATA
AGGAATCTAAAAGCGTTAATGTAA</t>
  </si>
  <si>
    <t>Pyruvate:ferredoxin oxidoreductase and related 2-oxoacid:ferredoxin oxidoreductases, alpha subunit</t>
  </si>
  <si>
    <t>2-oxoacid:acceptor oxidoreductase, beta subunit, pyruvate/2-ketoisovalerate family</t>
  </si>
  <si>
    <t>2-oxoacid:acceptor oxidoreductase, alpha subunit</t>
  </si>
  <si>
    <t>cren1_8best_scaffolds_00009290</t>
  </si>
  <si>
    <t>cren1_8best_scaffolds_00009300</t>
  </si>
  <si>
    <t>cren1_8best_scaffolds_00013350</t>
  </si>
  <si>
    <t>cren1_8best_scaffolds_00013360</t>
  </si>
  <si>
    <t>MDKPFGYSWLIGGAQGSGIERGASVFINAIASAGYYVFGKREYYSNIMGE
HSYYYVRFDKKPVFSHIEKYNILAAYDAETVFRHSLESLPESAIIFNSMH
RNVRLSEIPTIEKRLRNDISKRLKIEPNKLTLQMILEEAEKNGVKIFPID
YNAILNEIFRKTGESLSDLTRMNNVIAVASSLALLKLDFDSFVKGVIKTF
GSKKNVVELNRMAGELAYQQVESKGYANEFKIKLEKLGNKNKRYIINGNQ
AVAIGKILAGCRFQTYYPITPATDESNFLEAHENVELSDYAAQAINEEKE
HLQSQGSIVVMETEDEIAAITMATGAALSGARASTSTSGPGFSLMVEGLG
WAGMNEVPVVVTLYQRGGPSTGMPTRNEQGDLRFAIHAGHGEFPRIVLAP
GDIEEAIYDTIRAFNYAERYQLPVILMLDKYLANSVKSVENLDLTKNKID
RGFILSENDILKLKQEGKEYKRFELTDNGISPRIFVGTKGAVFWNTGDEH
DELGHITEDPVIRDKMMEKRMNKLITAYNEIPFDVKLNHFQAIKPAITLV
SWGSNKGVILDLIEILKGEGIEVEFIQLRLLNPFPSNELKQVLEGKRWVD
IENNYSAQLAGLIKENTGLAPDYYIVKYNGRPISLDELYIAVESILKGEA
PIRQVLRGGT</t>
  </si>
  <si>
    <t>VELKLKLTDYRTDVHNNWCPGCGDFGILSAIQQALFEMQLEPSKVAIISG
IGCSAKTPHYVNAYGIHTLHGRAIPYATGIKLANPELEVIVAVGDGDGLG
IGAGHFVHAGRRNVDFTVVMYNNEVYGLTKGQAAPTLGKGVKTKSLPKPN
INLSVNPILLAFASGYTFIARGYSYEVKHLKDLIKQGIMHKGSAFIEVIQ
PCPTYNDIHTKEYWAGKGNIDPKTGKEVPRYYKLEETGYECIITNDTTEE
EYLAKISKFIQKALESGNRVPIGVFYRDLRYETYEERLASRMPSYKYYPP
AKQKIADIAGNPITKADKILEEFAV</t>
  </si>
  <si>
    <t>MTNPIAVRFCGAAGDGIESIGSIMVRTFARSGLHVYAYRNYQSVIRGGHV
WYQVRAHNKKLTSFGDYYDIMVTTNKDGIVYDSAQLREGGIIIYDANKVK
FDPSEVGKKFIDLNIPLAEIAQLYSRIAAMQNVVAYGAIAYILDLDFNIL
KEVLEYEFGDKGREIVEQNIAAARKGYEYASEVYKNVRIKIEKGPRRRMF
LNGTSAIAFGGYVAGCKFYAAYPMTPSSPILHWFAEHTKKAGMIVLQPED
EIAVINMAIGASFAGVRSMVATSGGGFALMSEAVGLAGMTETPLVIVEGQ
RGGPSTGLPTNTEQGDVRQVLGAGQSDYPKVVIAPRDIEELFYSTIEAFN
LAEKYQIPVIIVSDLYMNESATTLENEFDIENIKIDRGWIVKEGEIKDYK
RFLITENGVSPRALPGMKGYNFVAASDEHDEKGHLVSDVLAGLPYMLKIR
KAMMEKRMRKEQYILKELEPPTLYGPQNADITIVSWGSTRGAVREALQIL
ENEGIIANSLEIKYLHPFQGKEIKEILEKAKEILLVENNYSGQVGGLIAQ
HTGIFIKNKLLKYDGMPIMPLEIVNKAKEVLNLKSYEVIR</t>
  </si>
  <si>
    <t xml:space="preserve">MESVLKIYKGEVQPDWCPGCGDFAVLNAIQRALYELNLDPKDVLIVSGIG
CSSNLPGFISTYGFHGIHGRAIPVATGAKLANPELTVIVTVGDGDCYGIG
MGHFIHAMRRNPDITVIVMNNQVYGLTTGQASPTSMKKHVTKSTPFGVID
DPINPIALAIAGGATYVSRGFSGDPIHLAQLIKNGILHKGFALVDVFSPC
VTFNKLNTYEWFRKRIYKLESIGHDPTNFELAIKRAYEFGDKIPIGLFYK
AEKPSYEEYFEDIYKGKPLVYHDFPNKEQIKEIMKEFY
</t>
  </si>
  <si>
    <t xml:space="preserve">ATGGATAAACCTTTTGGTTATTCTTGGCTGATCGGAGGAGCCCAAGGATC
AGGAATAGAGAGAGGTGCTAGTGTTTTCATCAACGCAATAGCAAGTGCAG
GCTATTACGTTTTTGGTAAGAGGGAATATTATTCGAATATAATGGGAGAA
CATAGTTATTATTATGTAAGATTTGATAAAAAGCCTGTTTTTTCACATAT
TGAAAAATATAATATATTGGCCGCTTATGATGCAGAAACAGTATTTAGGC
ACAGTCTTGAATCTTTGCCCGAATCTGCAATTATTTTTAATTCCATGCAC
AGAAATGTAAGGTTATCTGAGATTCCAACCATTGAAAAGAGACTAAGAAA
CGATATAAGTAAAAGGTTAAAAATTGAACCAAATAAGCTAACCCTGCAAA
TGATTCTGGAGGAAGCTGAAAAAAACGGTGTAAAGATATTTCCTATAGAT
TACAATGCTATACTTAATGAGATTTTCAGAAAAACAGGGGAGAGTCTATC
CGATCTTACAAGGATGAACAATGTCATAGCAGTTGCTTCTTCTCTGGCTT
TACTAAAACTTGATTTTGATAGCTTTGTTAAAGGCGTTATAAAAACTTTT
GGGAGTAAGAAAAACGTGGTTGAATTAAATCGAATGGCCGGAGAGCTTGC
ATACCAGCAGGTTGAATCTAAAGGATACGCTAATGAATTTAAAATAAAGC
TTGAAAAATTGGGAAATAAAAACAAAAGGTACATAATCAATGGAAACCAA
GCTGTAGCAATTGGCAAAATACTTGCCGGTTGCAGATTTCAAACTTACTA
CCCAATAACTCCTGCAACAGATGAAAGCAACTTTCTTGAAGCTCATGAGA
ATGTAGAGTTGTCCGATTATGCAGCACAGGCTATCAATGAGGAAAAGGAG
CATTTGCAATCACAAGGATCAATTGTCGTAATGGAAACCGAGGATGAAAT
TGCTGCAATAACAATGGCCACGGGAGCGGCTCTTTCGGGTGCTAGGGCTT
CAACCTCAACTTCAGGACCGGGGTTCTCTTTAATGGTTGAAGGTCTTGGA
TGGGCAGGTATGAATGAAGTACCTGTTGTTGTAACTTTGTATCAAAGAGG
AGGGCCTTCAACAGGGATGCCTACAAGAAATGAACAGGGGGACCTAAGGT
TTGCAATACATGCAGGGCATGGAGAATTTCCCAGAATAGTTCTGGCACCA
GGTGACATTGAGGAAGCAATTTATGATACAATTCGAGCTTTTAATTATGC
AGAAAGGTATCAGCTGCCTGTAATCTTAATGCTTGATAAATACTTAGCTA
ATTCTGTAAAATCTGTTGAAAATTTGGATTTAACAAAAAATAAAATAGAT
AGGGGTTTTATATTGAGCGAAAACGATATTTTAAAGCTTAAGCAAGAAGG
TAAGGAATACAAAAGATTTGAATTAACAGATAATGGAATTTCACCGAGAA
TTTTTGTTGGAACAAAAGGCGCGGTCTTCTGGAATACTGGAGATGAACAT
GATGAACTTGGGCATATAACTGAAGATCCTGTAATAAGGGATAAAATGAT
GGAAAAAAGGATGAACAAGCTTATAACAGCTTACAATGAAATTCCCTTCG
ATGTAAAGTTAAATCATTTTCAAGCAATAAAACCAGCTATTACACTTGTA
AGTTGGGGATCAAATAAGGGTGTGATACTTGATCTGATTGAAATTCTAAA
AGGAGAAGGGATAGAAGTTGAATTTATTCAATTAAGACTTTTAAATCCTT
TCCCTTCAAACGAGCTGAAACAAGTTCTTGAAGGAAAAAGGTGGGTGGAT
ATAGAAAACAATTATTCAGCACAACTTGCTGGATTGATTAAGGAAAATAC
TGGTCTTGCACCCGACTATTATATAGTAAAATACAATGGAAGACCTATTT
CATTGGATGAACTTTATATAGCTGTTGAGAGTATCTTAAAGGGTGAAGCG
CCTATTAGGCAGGTGTTGAGAGGTGGAACTTAA
</t>
  </si>
  <si>
    <t>GTGGAACTTAAACTTAAATTAACGGATTATAGGACAGACGTTCATAATAA
CTGGTGTCCGGGTTGTGGAGATTTCGGAATATTAAGTGCTATTCAGCAGG
CTCTATTTGAAATGCAATTAGAACCTAGCAAAGTAGCTATAATTTCAGGT
ATAGGTTGCAGCGCTAAGACTCCACACTATGTTAATGCTTATGGAATACA
TACTTTGCATGGACGAGCAATTCCTTATGCAACAGGTATTAAGCTAGCAA
ATCCCGAACTTGAGGTCATAGTAGCTGTAGGAGATGGTGACGGGCTGGGA
ATAGGTGCAGGGCACTTTGTTCATGCAGGAAGAAGAAATGTAGACTTTAC
CGTTGTGATGTACAATAATGAAGTTTATGGACTTACTAAGGGCCAAGCTG
CACCAACCTTAGGTAAAGGAGTCAAAACAAAGTCTTTACCAAAACCAAAC
ATAAATCTATCAGTTAATCCAATACTTTTAGCTTTTGCAAGCGGATATAC
ATTTATCGCAAGGGGCTATTCATATGAAGTTAAACATCTAAAAGATTTAA
TCAAACAAGGTATAATGCACAAAGGATCTGCTTTTATTGAGGTTATTCAA
CCATGTCCTACTTATAATGACATACATACTAAGGAATATTGGGCCGGTAA
GGGAAACATCGATCCTAAGACAGGGAAAGAAGTCCCAAGATATTATAAGC
TTGAAGAAACAGGCTATGAGTGTATAATAACAAATGATACTACAGAAGAA
GAATACTTAGCAAAAATATCAAAATTTATCCAAAAAGCGCTTGAATCAGG
AAATAGAGTTCCAATTGGTGTTTTCTACAGAGACTTAAGATATGAAACCT
ACGAAGAAAGACTTGCTTCAAGAATGCCAAGCTACAAGTATTATCCTCCA
GCTAAGCAAAAAATAGCAGATATTGCTGGAAATCCAATAACTAAAGCAGA
TAAAATTTTAGAGGAATTTGCTGTTTAA</t>
  </si>
  <si>
    <t>ATGACAAATCCTATAGCTGTTAGATTCTGTGGTGCAGCAGGAGATGGTAT
TGAATCAATTGGAAGTATAATGGTAAGAACTTTTGCAAGATCTGGTTTGC
ATGTATATGCTTATAGAAACTATCAATCTGTGATAAGAGGAGGACATGTT
TGGTATCAAGTAAGAGCGCATAATAAGAAACTAACTTCCTTTGGAGATTA
CTACGATATAATGGTCACTACAAATAAAGATGGTATCGTTTATGATTCAG
CTCAACTTAGAGAGGGCGGTATAATAATTTATGATGCAAATAAGGTAAAG
TTTGATCCTTCAGAAGTAGGTAAAAAGTTCATAGATTTGAATATTCCTTT
GGCAGAGATTGCTCAACTTTATTCAAGAATAGCTGCAATGCAAAACGTTG
TTGCTTATGGTGCGATTGCTTACATCCTTGATTTAGATTTCAATATATTA
AAAGAAGTATTAGAGTATGAATTTGGAGATAAAGGAAGGGAAATAGTTGA
GCAGAATATTGCTGCTGCAAGAAAAGGTTATGAATATGCTAGCGAAGTTT
ACAAAAATGTAAGAATAAAAATAGAGAAGGGTCCTAGAAGAAGAATGTTT
TTAAACGGCACAAGTGCGATAGCTTTTGGCGGTTATGTTGCTGGATGTAA
GTTTTATGCAGCTTATCCAATGACTCCTTCTTCTCCAATTCTACATTGGT
TTGCTGAGCATACAAAGAAAGCAGGAATGATAGTTTTACAACCTGAAGAT
GAAATTGCGGTAATAAACATGGCAATCGGTGCTTCGTTTGCAGGTGTTAG
AAGTATGGTTGCAACATCAGGTGGCGGTTTTGCTTTGATGTCGGAAGCTG
TGGGTTTAGCTGGAATGACGGAAACACCTTTAGTTATAGTTGAAGGACAA
AGAGGCGGACCTTCTACAGGTTTGCCAACAAACACTGAACAAGGAGATGT
AAGGCAAGTCTTAGGTGCTGGCCAGAGTGATTATCCAAAAGTCGTTATTG
CTCCTAGAGATATAGAAGAACTATTCTATTCAACTATAGAGGCATTCAAT
CTTGCAGAAAAATATCAAATTCCTGTCATAATCGTTTCAGATCTTTATAT
GAACGAATCAGCAACAACTTTGGAAAATGAATTTGATATAGAAAACATAA
AAATAGATAGGGGCTGGATAGTAAAGGAAGGAGAAATAAAGGATTATAAA
AGATTTCTTATCACAGAAAATGGTGTATCTCCAAGAGCCTTGCCAGGAAT
GAAGGGTTACAACTTTGTTGCTGCAAGCGACGAACACGATGAAAAAGGTC
ATTTAGTAAGCGATGTATTAGCAGGATTACCTTATATGCTAAAAATAAGG
AAAGCTATGATGGAAAAGAGAATGAGGAAAGAGCAATACATTTTAAAGGA
GCTTGAACCTCCTACATTATACGGTCCTCAAAATGCAGATATAACAATCG
TAAGTTGGGGATCAACAAGAGGAGCTGTAAGAGAAGCTCTACAAATACTT
GAAAATGAAGGCATAATTGCAAATTCACTTGAAATCAAGTACTTACATCC
CTTCCAAGGAAAGGAAATAAAAGAAATTCTTGAAAAAGCTAAAGAAATTT
TGTTAGTTGAAAACAACTACAGCGGACAAGTAGGAGGTTTAATAGCGCAG
CATACAGGTATTTTTATCAAAAATAAGCTCTTGAAGTATGACGGAATGCC
CATTATGCCTTTAGAAATTGTAAACAAGGCTAAAGAAGTTCTTAATTTAA
AAAGTTATGAGGTGATTAGATAA</t>
  </si>
  <si>
    <t>ATGGAATCCGTACTCAAAATTTATAAGGGAGAAGTTCAACCTGATTGGTG
TCCAGGTTGCGGAGATTTTGCAGTATTGAACGCAATTCAAAGAGCCCTAT
ACGAGCTAAACTTGGATCCTAAGGATGTTTTGATTGTTTCAGGAATTGGT
TGTTCCTCAAATCTTCCAGGCTTTATTTCCACCTATGGTTTCCATGGGAT
ACATGGAAGAGCAATTCCTGTAGCAACAGGAGCAAAACTTGCAAATCCTG
AATTGACTGTAATTGTAACGGTAGGAGATGGGGATTGCTACGGAATAGGC
ATGGGGCATTTCATTCATGCTATGAGAAGAAATCCTGATATCACAGTAAT
AGTCATGAATAACCAAGTTTACGGTTTAACCACAGGTCAAGCATCACCTA
CTAGCATGAAGAAGCATGTTACTAAATCTACTCCTTTCGGAGTAATTGAT
GATCCTATTAATCCTATAGCATTGGCAATTGCTGGAGGGGCAACATATGT
TTCTCGAGGTTTCTCTGGAGATCCTATTCACTTAGCACAGCTTATAAAGA
ATGGTATTTTACATAAAGGATTCGCTTTAGTAGATGTATTTAGTCCTTGT
GTCACTTTCAACAAGCTCAACACATATGAATGGTTTAGAAAGAGGATATA
TAAGCTTGAAAGCATTGGCCACGATCCAACAAACTTTGAATTAGCGATCA
AGAGAGCCTATGAATTTGGAGATAAAATACCTATAGGGCTGTTTTATAAA
GCTGAAAAGCCTTCTTATGAGGAATACTTTGAAGATATTTATAAAGGAAA
GCCATTGGTCTATCATGATTTCCCAAACAAAGAACAAATTAAAGAGATTA
TGAAAGAGTTTTACTAA</t>
  </si>
  <si>
    <t>succinyl-CoA synthetase, alpha subunit</t>
  </si>
  <si>
    <t>succinyl-CoA synthetase, beta subunit</t>
  </si>
  <si>
    <t>cren1_8best_scaffolds_00011970</t>
  </si>
  <si>
    <t>cren1_8best_scaffolds_00011980</t>
  </si>
  <si>
    <t xml:space="preserve">MGILVDSNTKVLVQGITGKQGSFHTKQMLEYGTKILAGVTPGKKGENVHG
IPVFDNVSEALEAFPEINASIIFVPAPFVADAVYEAIDAGIKLIVIISER
VPIHDSLKFINYARYKGCTIIGPNCPGIVTPPNTKLGIMPNNLFKTGNIG
IISRSGTLTYEVAFRLLKGSLGISTAVGIGGDPIIGTDFIEMYDLFLKDK
LTSAVVVIGEIGGDMEERLADYYSKLKNKKPIVAFIAGKSAPEGKRMGHA
GAIISMGIGSAASKIEKFKEAGIPVADRPDEIPLLLKSILSR
</t>
  </si>
  <si>
    <t xml:space="preserve">MKLYEYEARQLFTEFGIPVNKWILARDIREVIEKSSGLSFPLVVKAQVLV
GGRGKAGGVKIVRDKDELKSAAEKILQMRIKDEPVDSVIVAEAVDIKKEL
YLSIILDKSQRAPLILASTEGGVDIEEVAKSDPSKIIRIRVDPFVGVRDY
IVRKIENFLKVRNINKILNGLYGVFTKYECELAEINPLAITPDDQLIAID
AKVLVDDSSIFRNTRFKDRKTPELSYYEEIARKFGFSYVEQEGDIGIIGN
GAGLTMTTMDLVQYFGGKPANFLDIGGGANSEIMYNALSILLEQERIKGV
FINILGGITRCDEVASGIIKAIKDKGITKPIVVRMIGTNEELGKRMLKEV
GIDTFDDMENAAKQIVSLIYNK
</t>
  </si>
  <si>
    <t xml:space="preserve">ATGGGCATATTAGTAGATTCGAACACTAAAGTGTTGGTTCAAGGCATAAC
AGGCAAACAGGGTAGCTTTCATACAAAGCAAATGCTAGAATATGGAACAA
AGATTCTAGCAGGTGTAACGCCAGGAAAAAAAGGTGAAAACGTTCATGGA
ATACCTGTTTTCGATAATGTGTCAGAAGCGTTAGAAGCATTCCCTGAAAT
TAATGCTTCTATTATATTTGTTCCTGCTCCTTTTGTAGCGGATGCTGTCT
ATGAAGCAATCGATGCAGGAATAAAGTTAATTGTGATAATTTCCGAAAGA
GTTCCTATTCATGATTCCTTGAAGTTCATAAACTATGCAAGATATAAAGG
ATGTACCATCATAGGTCCAAATTGTCCTGGGATTGTTACACCTCCTAATA
CAAAGTTGGGAATAATGCCCAATAATTTGTTTAAAACTGGAAACATCGGA
ATAATTTCAAGAAGCGGAACTTTAACCTATGAGGTAGCTTTTAGATTGCT
GAAGGGCTCGTTAGGAATAAGCACAGCAGTAGGAATAGGAGGTGATCCCA
TTATAGGAACAGATTTTATTGAAATGTATGATTTATTCCTTAAAGATAAA
TTAACCTCAGCTGTAGTTGTAATTGGAGAAATCGGTGGAGACATGGAAGA
AAGATTAGCAGACTACTATTCAAAGCTAAAAAATAAGAAGCCAATTGTTG
CATTCATTGCAGGGAAATCTGCTCCTGAGGGTAAAAGGATGGGACATGCT
GGTGCGATCATCTCTATGGGTATAGGAAGTGCTGCAAGTAAAATTGAAAA
GTTTAAGGAAGCAGGAATACCTGTTGCCGATAGACCTGATGAAATTCCTT
TATTATTGAAATCAATATTAAGTAGATAA
</t>
  </si>
  <si>
    <t>ATGAAACTATATGAGTATGAAGCAAGGCAACTTTTCACCGAATTCGGAAT
ACCTGTAAACAAATGGATTCTTGCAAGGGATATAAGAGAAGTCATAGAAA
AAAGCAGCGGGCTTAGTTTTCCATTGGTGGTAAAAGCTCAAGTGCTTGTA
GGTGGAAGGGGAAAGGCTGGAGGTGTTAAGATTGTCAGAGATAAGGATGA
ACTTAAATCTGCTGCTGAGAAAATCCTTCAAATGAGAATTAAGGATGAAC
CTGTTGATAGCGTGATAGTTGCCGAAGCTGTTGATATCAAAAAAGAATTG
TATCTTTCAATAATTTTAGATAAAAGTCAAAGGGCACCTTTAATATTAGC
TTCTACTGAAGGTGGTGTTGATATCGAGGAAGTTGCTAAGAGTGATCCAA
GCAAAATAATAAGAATAAGAGTGGATCCATTTGTTGGAGTAAGAGACTAT
ATAGTAAGGAAGATAGAGAATTTCTTAAAAGTACGTAATATAAATAAAAT
ACTTAATGGACTATATGGCGTGTTCACCAAATATGAATGCGAATTAGCTG
AAATAAATCCTCTAGCTATAACCCCTGATGATCAATTGATAGCTATTGAT
GCAAAAGTGCTAGTTGATGACTCTTCAATCTTTAGAAATACTCGTTTTAA
AGATAGAAAAACTCCTGAACTCTCTTACTATGAAGAGATTGCTAGAAAAT
TTGGTTTCAGTTATGTAGAGCAAGAGGGGGATATAGGTATTATCGGAAAC
GGTGCAGGATTAACAATGACAACTATGGATTTAGTTCAGTATTTCGGAGG
TAAGCCTGCAAATTTTTTGGATATTGGAGGAGGAGCAAATTCTGAAATAA
TGTATAATGCGTTATCAATTTTGTTAGAACAGGAAAGAATAAAGGGGGTT
TTTATAAACATTTTAGGTGGTATTACAAGATGCGATGAGGTTGCTTCTGG
AATAATTAAGGCCATTAAAGATAAAGGAATTACAAAACCGATAGTCGTCA
GAATGATCGGAACAAATGAAGAACTTGGAAAACGCATGCTCAAGGAAGTA
GGGATCGATACTTTCGATGATATGGAAAATGCAGCAAAACAAATAGTTAG
CCTGATATATAATAAATAA</t>
  </si>
  <si>
    <t>succinate dehydrogenase or fumarate reductase, flavoprotein subunitGram-negative/mitochondrial subgroup</t>
  </si>
  <si>
    <t>succinate dehydrogenase and fumarate reductase iron-sulfur protein</t>
  </si>
  <si>
    <t>cren1_8best_scaffolds_00002280</t>
  </si>
  <si>
    <t>cren1_8best_scaffolds_00002290</t>
  </si>
  <si>
    <t xml:space="preserve">VEKSSHDIVIIGAGAAGLRAAIEAASKNPKLSVALISKVYPMRSHTVSAE
GGAAAVIKSDDNFDLHAYDTIKGSDFLADQDAVELFVRLAPKEIIRLEHW
GCPWNRDEEGKIDVRWFGGMSVKRTIHAADKTGFYLLHTLFQTSLKYENI
VRYDEYFVTSLIIEDNRFCGVTALSLRDGKFHVIKGKAGVIATGGAGQIY
KITTNGAINTGDGMALAYKAGLPLKDMEFVQFHPTCLPGSGILISEAARG
EGGYLLNNKYERFLKNYVPNKMELGPRDIISRSMINEIKLGNGFKGKYGD
YLALDLRHLGEEKIENKLPQIRELAKTFAGVDPVHELVPVRPGQHYFMGG
IHVDINTSTPVAGLYSAGEASCVSINGANRLGSNSLPECLVFGAISGEQA
ARFAMEHDFVNFPPEVAEQEEKRIFEELLKKESGVYPAEIKYKLKDTMEE
YVGIIRNEKSLNEACRIIRKLREEFKNVTAGDKSPIYNTDIVEVLELDFM
IEVAEAVAYSALNRRESRGAHYREDYPERNDKDYLAHTLIFKTIQGPKIE
YLPVKITKWKPTERKY
</t>
  </si>
  <si>
    <t>MPETTFILRRYNPEKGEFFISKYNVPYESDTTILAGLIYIKDYLDRTLSF
RYSCRMASCGSCGMVVNKKPTLVCRTLINNVKKPIFIEPLYNFPVIKDLV
VDIDIFIDKLKEVKSYVIREKEESIDKEFIVKPEEMELIKQSSSCINCML
CYAACPVFGADEKFIGPAALAILYRYLNDPRDQGKKERIKIASLSHAAYM
CSLVGQCTVVCPKNVDPSFHIQRLKVISTLNNLGI</t>
  </si>
  <si>
    <t>GTGGAAAAAAGTTCACATGATATAGTTATAATAGGTGCAGGAGCTGCAGG
ATTAAGGGCTGCAATAGAAGCTGCTTCAAAAAATCCTAAGTTAAGCGTTG
CATTGATTTCCAAAGTATATCCTATGAGGAGCCATACAGTATCAGCTGAA
GGAGGAGCAGCGGCAGTTATAAAATCTGACGATAACTTCGATTTGCATGC
ATATGATACGATAAAAGGCAGCGATTTCTTAGCAGATCAAGATGCTGTGG
AACTCTTTGTAAGGCTTGCACCTAAAGAAATAATCAGATTAGAACATTGG
GGATGTCCTTGGAATAGAGATGAAGAAGGTAAAATAGATGTTAGATGGTT
TGGTGGTATGAGTGTAAAAAGAACGATTCATGCGGCAGATAAAACAGGTT
TCTATTTACTGCATACTCTGTTTCAAACTTCTTTAAAATACGAAAACATA
GTACGTTATGATGAGTATTTTGTAACCTCTTTAATAATAGAGGATAATAG
ATTTTGCGGCGTTACGGCACTTTCTTTAAGAGATGGAAAATTCCATGTTA
TCAAGGGAAAGGCAGGAGTAATCGCTACGGGAGGAGCTGGACAAATTTAT
AAAATAACAACGAATGGTGCAATAAACACAGGTGATGGCATGGCTTTGGC
TTACAAGGCAGGATTACCATTAAAAGATATGGAATTTGTTCAGTTCCATC
CAACATGCTTGCCGGGAAGTGGAATCTTGATAAGTGAAGCTGCAAGAGGT
GAGGGAGGGTATTTATTGAACAATAAATATGAGAGATTTCTTAAAAACTA
CGTTCCTAATAAAATGGAGCTTGGGCCAAGAGATATTATTTCAAGGTCAA
TGATAAATGAAATAAAATTGGGAAATGGTTTTAAAGGAAAATACGGTGAT
TATTTAGCTTTGGATTTGAGACATTTAGGTGAGGAAAAGATAGAGAATAA
ATTGCCGCAGATAAGAGAATTAGCCAAAACATTTGCAGGCGTTGATCCTG
TGCATGAACTAGTTCCTGTTAGGCCTGGCCAGCATTACTTTATGGGAGGA
ATACATGTAGACATAAATACGAGCACGCCTGTTGCAGGTCTATATTCTGC
AGGAGAAGCTTCATGTGTGAGCATAAACGGAGCTAACAGACTTGGTTCAA
ATTCTCTTCCAGAATGTTTAGTTTTTGGAGCAATTAGCGGAGAACAGGCC
GCAAGATTTGCAATGGAACATGATTTTGTTAATTTTCCCCCAGAAGTAGC
TGAACAGGAAGAAAAAAGAATTTTTGAAGAACTTCTTAAGAAGGAATCCG
GGGTTTATCCTGCTGAAATAAAGTACAAACTTAAGGATACAATGGAAGAA
TATGTAGGAATAATAAGGAATGAAAAGAGTTTAAACGAGGCTTGCAGAAT
TATTAGAAAATTGAGAGAAGAATTTAAAAATGTAACTGCAGGAGATAAAA
GCCCCATATACAATACAGACATTGTTGAGGTACTTGAACTCGATTTTATG
ATAGAAGTTGCTGAAGCTGTTGCATATTCTGCTTTGAATAGAAGAGAATC
GAGAGGAGCGCATTACAGAGAAGACTATCCTGAGAGAAATGACAAGGATT
ACTTAGCCCATACACTAATATTCAAGACGATACAAGGGCCGAAAATCGAG
TATCTTCCTGTCAAGATCACAAAATGGAAACCTACTGAAAGGAAATATTA
A</t>
  </si>
  <si>
    <t>ATGCCGGAGACAACTTTCATACTCAGGAGGTATAATCCAGAAAAAGGAGA
ATTCTTTATCAGTAAATACAATGTACCATATGAAAGTGATACAACAATAT
TAGCAGGATTGATATATATCAAAGATTACTTGGACAGAACACTGAGTTTC
AGATATTCTTGCAGAATGGCTTCATGTGGAAGTTGCGGAATGGTTGTAAA
TAAGAAACCAACTTTAGTTTGTAGGACTTTAATAAATAACGTTAAAAAAC
CGATTTTTATAGAACCACTTTACAATTTCCCAGTAATTAAAGACCTTGTT
GTAGATATTGATATTTTCATAGATAAACTAAAGGAAGTCAAATCTTACGT
AATCAGAGAAAAAGAAGAAAGTATTGATAAAGAGTTTATTGTCAAGCCAG
AAGAAATGGAACTTATTAAACAATCAAGCTCATGTATAAATTGTATGCTT
TGCTATGCAGCTTGCCCTGTATTTGGTGCAGATGAAAAATTCATTGGACC
AGCAGCGTTAGCAATATTGTATAGATACTTAAACGATCCGAGAGACCAGG
GTAAAAAAGAAAGGATAAAAATTGCGTCTTTAAGTCATGCAGCATATATG
TGTTCATTAGTTGGTCAATGCACAGTTGTTTGTCCAAAAAACGTAGATCC
ATCTTTTCATATACAAAGATTAAAGGTTATATCGACATTGAATAATTTAG
GTATTTAA</t>
  </si>
  <si>
    <t>Fumarase</t>
  </si>
  <si>
    <t>cren1_8best_scaffolds_00014840</t>
  </si>
  <si>
    <t>MEKQKFRIEKDYLGELQIPVDAYYGINTVRAYYNFQISNYRFPRIFIKSL
GIIKLASARANNKLGLLDEVKFRAIEKACLEVIEGKFDDQFIVDIFQTGS
GTSTNMNANEVIASRANEILGGKRGDKKPVHPNDHVNMSQSSNDVIPTSV
YVSATLLTIEKLLPSLETLIKSLETKAEEFKDIVRAGRTHLQDALPITLG
QNFSAYASMIKHSKEEIEKALERIKELPLGGTAVGTGLNAHPEFGKLAIE
EIRKITNVEFKEASNRFEIMQTLNGALSLHSAIKFLAASLMKIANDLRLL
NSGPRTGLAEIDLPALQPGSSIMPGKVNPVIPEAINMVAARVFGNDLTIT
IGVETNFLELCTMMPIIGYTLLESIEITANACKSFAEKCIIGIKPNVEKM
REYAESSTMVITAIAPKIGYDNAAMIAKKALETGKSIRQLLIEEKIVSEK
DVDKILDIKRMTQGGILA</t>
  </si>
  <si>
    <t xml:space="preserve">ATGGAAAAACAGAAATTTAGAATTGAGAAAGACTATTTAGGAGAGCTTCA
AATACCCGTAGATGCGTACTATGGGATAAACACAGTGCGAGCTTATTATA
ATTTTCAAATATCCAATTACAGATTCCCCAGGATCTTTATCAAATCTCTG
GGAATAATCAAATTGGCTTCTGCTAGAGCAAATAATAAACTTGGATTACT
TGATGAAGTAAAATTTAGGGCTATAGAAAAAGCCTGTTTGGAAGTAATTG
AAGGCAAGTTTGACGATCAATTCATAGTTGATATATTCCAGACAGGATCT
GGAACGTCAACGAATATGAATGCGAATGAAGTAATTGCAAGTAGAGCAAA
TGAAATTCTTGGGGGAAAAAGAGGAGATAAAAAACCAGTTCATCCAAACG
ATCATGTAAACATGTCCCAATCAAGTAACGATGTAATACCAACTTCTGTA
TATGTATCTGCAACTCTTTTAACTATTGAAAAACTATTGCCTTCTTTAGA
AACATTAATAAAAAGTTTAGAAACCAAAGCTGAAGAATTTAAAGATATTG
TAAGAGCTGGCAGAACCCATTTACAGGATGCTTTGCCCATAACTTTAGGC
CAGAATTTCTCAGCTTATGCTTCAATGATAAAGCATTCAAAGGAGGAAAT
CGAAAAGGCACTTGAAAGAATAAAAGAGCTTCCTTTAGGAGGCACAGCTG
TTGGTACAGGTTTAAACGCTCATCCTGAATTCGGAAAACTTGCTATAGAA
GAAATTAGGAAAATAACAAATGTAGAATTTAAAGAAGCATCGAATAGATT
TGAAATCATGCAGACTTTAAACGGAGCATTGTCTTTACATTCAGCTATAA
AGTTTCTTGCCGCCTCTCTGATGAAAATAGCAAATGATTTAAGATTACTT
AATTCAGGACCAAGAACTGGATTAGCAGAAATTGATTTACCTGCATTACA
GCCAGGTTCAAGTATAATGCCAGGAAAGGTTAACCCTGTAATTCCTGAGG
CAATTAATATGGTGGCAGCAAGGGTTTTCGGAAACGATCTAACAATAACT
ATCGGTGTTGAAACTAATTTCTTAGAACTGTGCACAATGATGCCAATTAT
AGGTTACACCCTACTGGAAAGCATCGAAATAACCGCAAATGCTTGCAAGT
CTTTCGCTGAGAAATGCATTATAGGAATAAAGCCTAACGTTGAAAAAATG
AGGGAATATGCTGAAAGCTCAACGATGGTTATAACCGCTATAGCGCCAAA
GATAGGTTATGATAATGCTGCAATGATAGCAAAGAAAGCTTTAGAGACAG
GAAAAAGCATAAGACAGCTTTTAATTGAAGAAAAAATAGTTAGCGAAAAG
GATGTTGACAAGATTTTGGATATAAAAAGGATGACACAAGGAGGGATTCT
TGCTTAA
</t>
  </si>
  <si>
    <t>Malate/lactate dehydrogenases</t>
  </si>
  <si>
    <t>cren1_8best_scaffolds_00002520</t>
  </si>
  <si>
    <t>MKISIIGSGRLGSTAALEIINRDLVDDLVLIDIVKGLPQGEALDLNQMAS
EKGKNVKVIGSNDYKDIRDSNIVVITAGFARKPGMTRMDLLKSNAGIIKE
VAQNVAKYCKDSIVITVTNPMDVMNYIVYKITGFPRKHVIGMGGLLDSSR
YREILAEMLNVGRSAIRALVIGEHGENMLPMPRYSTLGGIRISDILNKEQ
LALAEENTRKIAAEVISLKGATVFAPISCIATMVENIIKDKKDIIPASVY
LEGEYGLKDICIGVPIILGRNGWEQIIELNLNEEEREKFLKGANTIYNAI
EELKKEGIIQ</t>
  </si>
  <si>
    <t>ATGAAAATATCAATAATAGGTTCTGGTAGACTGGGGAGTACAGCAGCACT
TGAAATAATAAACAGGGATTTGGTTGATGATTTAGTTTTGATAGATATTG
TTAAAGGGTTACCCCAAGGTGAAGCGTTAGATTTAAATCAAATGGCTTCG
GAAAAAGGTAAAAATGTTAAAGTTATCGGATCTAATGATTATAAAGACAT
AAGAGATTCAAACATAGTAGTTATAACAGCAGGATTTGCAAGAAAGCCAG
GAATGACTAGAATGGACTTGTTAAAATCTAATGCCGGGATAATAAAGGAA
GTTGCTCAAAACGTTGCTAAATATTGTAAAGATTCGATAGTTATTACAGT
TACTAATCCTATGGATGTTATGAACTACATAGTTTATAAAATAACAGGAT
TTCCAAGAAAACATGTAATTGGAATGGGAGGATTATTGGATTCTTCTAGA
TATAGGGAAATCTTAGCAGAAATGTTGAACGTAGGAAGATCTGCTATAAG
AGCTTTGGTTATTGGAGAACATGGAGAAAACATGTTGCCTATGCCAAGAT
ATTCAACTTTAGGAGGAATAAGGATCAGCGATATACTAAATAAAGAACAA
TTGGCTTTAGCAGAGGAAAATACTCGTAAAATTGCTGCTGAAGTGATCTC
TTTAAAAGGAGCGACAGTCTTTGCACCTATTAGCTGCATAGCTACTATGG
TGGAGAATATAATCAAAGATAAGAAAGATATAATACCTGCATCTGTGTAT
TTGGAAGGAGAATATGGTTTAAAGGATATTTGCATAGGAGTTCCTATAAT
ACTTGGGAGAAACGGCTGGGAGCAAATAATAGAGTTAAATTTGAATGAGG
AAGAAAGAGAAAAGTTCTTGAAAGGTGCAAACACAATATACAACGCGATA
GAAGAGCTTAAAAAGGAAGGTATTATTCAATAA</t>
  </si>
  <si>
    <t>1.2.4.1</t>
  </si>
  <si>
    <t>2.3.1.12</t>
  </si>
  <si>
    <t>1.8.1.4</t>
  </si>
  <si>
    <t>2.3.3.1</t>
  </si>
  <si>
    <t>4.2.1.3</t>
  </si>
  <si>
    <t>1.1.1.41</t>
  </si>
  <si>
    <t>1.2.7.3</t>
  </si>
  <si>
    <t>6.2.1.5</t>
  </si>
  <si>
    <t>1.3.99.1</t>
  </si>
  <si>
    <t>4.2.1.2</t>
  </si>
  <si>
    <t>1.1.1.37</t>
  </si>
  <si>
    <t>4.1.1.31</t>
  </si>
  <si>
    <t>phosphoenolpyruvate carboxylase, archaeal type</t>
  </si>
  <si>
    <t>cren1_8best_scaffolds_00017970</t>
  </si>
  <si>
    <t>MSTQHPDNANVPEWINGEVIEGEWEVIEAYKAFSEYKLDEVMWDAEGKDV
DTHVIRKLFSYYPEFFKENIIGQDIFVTYRIPNPKIEKAERKVLSETLES
ITVSYDVAERFYGKNIVPIFEVILPFTTSYEELISIIKYYEKAIVGRENV
EVFNEIKVKDIVGEVNPKTIEIIPLVEDKDSLLNIGKIIAGFWRHIKPKY
LRVFIARSDPAMNYGLFSAVLLAKYALSEIYNISKEISLDIFPIIGVGAL
PFRGNFNPENLENILNEYKGVVTFTVQSAFKYDYPKQEVLNAVEKIKNSR
IEDSYEFTHEERKILQSMISKYSTRYQNEIELLGKLVNEVASLIPKRRAR
KLHIGLFGYSRETGKISLPRAIAFCGSLYSIGIPPEILGLNSLHELDENE
WDLLNKSYLNFRKDLEQCSRFVNYEALDILQKDFRLNKEVIQMINEDVSY
LENQLGIKIGGRNYYERKHSYLSTLFLLALKEKNIEEAKLHIKQMAIIRK
SIG</t>
  </si>
  <si>
    <t xml:space="preserve">ATGTCTACACAACATCCTGATAATGCAAACGTTCCAGAGTGGATTAACGG
TGAAGTAATTGAAGGTGAGTGGGAAGTAATTGAAGCTTACAAGGCTTTCT
CAGAATACAAGCTTGATGAGGTTATGTGGGATGCTGAAGGAAAAGATGTT
GATACTCACGTTATAAGGAAACTATTCTCATATTATCCAGAATTCTTTAA
GGAAAATATAATCGGACAAGATATCTTTGTAACCTACAGGATACCAAATC
CCAAAATAGAAAAGGCTGAAAGGAAGGTTTTATCTGAAACGTTAGAAAGT
ATCACAGTTTCCTATGATGTAGCTGAAAGATTCTATGGAAAAAATATAGT
ACCTATCTTTGAGGTAATACTTCCATTCACAACTAGCTATGAAGAGTTGA
TATCAATAATAAAATACTATGAAAAGGCAATAGTTGGAAGAGAGAATGTT
GAAGTATTTAACGAGATTAAAGTCAAAGATATCGTAGGTGAGGTAAATCC
AAAAACCATTGAAATAATTCCACTTGTTGAAGATAAGGATAGTCTTCTAA
ATATCGGAAAAATAATCGCAGGTTTTTGGAGGCATATTAAACCAAAGTAT
CTAAGGGTATTTATAGCAAGATCGGATCCTGCTATGAATTATGGTTTATT
TAGCGCAGTCCTTTTAGCAAAATATGCCTTAAGCGAGATTTACAATATTT
CTAAAGAAATAAGCTTGGATATATTTCCAATAATAGGTGTTGGAGCTTTG
CCTTTTAGGGGCAACTTTAATCCTGAGAACTTAGAAAACATATTGAATGA
ATACAAAGGAGTAGTTACTTTTACGGTCCAATCAGCTTTTAAATATGATT
ATCCTAAGCAAGAAGTACTTAATGCTGTTGAGAAGATAAAAAACTCAAGA
ATTGAAGATTCATATGAATTCACTCATGAAGAAAGAAAAATCTTACAGAG
TATGATTTCCAAGTATTCTACAAGATATCAGAATGAAATCGAATTGCTGG
GAAAATTAGTAAATGAAGTTGCTAGCTTAATACCAAAAAGAAGAGCAAGA
AAATTGCACATTGGACTTTTTGGATATTCAAGAGAGACAGGTAAGATTTC
TCTTCCTAGAGCCATTGCATTCTGCGGTTCATTATATTCTATTGGCATCC
CTCCAGAAATATTAGGATTGAATAGCTTACATGAACTTGACGAAAATGAG
TGGGATTTACTAAACAAATCTTACTTAAATTTTAGAAAAGATTTGGAACA
ATGTTCAAGATTTGTAAACTATGAAGCGTTAGATATACTTCAGAAAGACT
TTAGGCTAAACAAAGAAGTAATACAAATGATAAATGAAGATGTAAGCTAC
TTAGAAAACCAGCTAGGTATAAAGATTGGAGGAAGAAACTATTATGAAAG
AAAGCATTCCTACTTGTCAACTTTATTTCTTCTAGCCCTTAAAGAGAAAA
ACATCGAAGAAGCAAAATTGCATATTAAACAAATGGCTATTATAAGAAAA
TCGATTGGATGA
</t>
  </si>
  <si>
    <t>Malic enzyme</t>
  </si>
  <si>
    <t>1.1.1.38</t>
  </si>
  <si>
    <t>cren1_8best_scaffolds_00010450</t>
  </si>
  <si>
    <t>MEDEKDQTQKLYELAINYSKIYKGKISIIPKVPIRDFNDFAIIYTPGIAG
VSIRIAKNPDESFELTGRWNTIAIVTDGTRVLGLGNIGPEAALPVMEGKA
IIFKYLGGVDAIPLTIKASDPQNFENVVKSLEPSFGGFNMEDIESPKCFY
LLEKLSNELNVPIWHDDQQGTAGATLAGLYNALKITDRKIKETRVVLLGS
GASNIATAKLLISAGFDAGNLIMIDSKGILHPEREDMDKLMLSNPWKYEL
AIKTNKDRIKGGIKEALIGSDVLIAASKPGPNTFNKEYIKEMNKDAIVFL
LANPIPEIWPWEAKEMGAKIVATGRSDFPNQINNSLIFPSVFRGALDAKS
KKISNEMIIEASKELAKYAEEKGLNENYIIPTMNEWEAYPRVAAAVAYKA
LELGFAREKMSKQEYYEKAKKIIEESRHSLKVLIEKGIIRNYINYL</t>
  </si>
  <si>
    <t xml:space="preserve">ATGGAAGATGAAAAAGATCAAACTCAGAAACTTTACGAATTGGCTATAAA
TTATTCAAAAATATATAAAGGTAAAATTTCTATAATTCCTAAAGTTCCTA
TAAGAGACTTCAATGACTTTGCTATCATTTATACACCTGGCATTGCTGGG
GTGTCTATTAGAATAGCAAAGAACCCTGATGAATCTTTTGAATTAACTGG
AAGATGGAATACCATAGCAATTGTAACGGATGGAACAAGGGTTCTGGGTC
TTGGAAACATTGGACCTGAAGCTGCTTTACCTGTTATGGAAGGAAAAGCA
ATCATATTCAAATATTTAGGAGGTGTTGATGCAATACCTTTGACCATAAA
AGCTAGTGATCCACAAAATTTTGAGAATGTAGTAAAATCATTGGAACCTT
CTTTTGGAGGTTTTAACATGGAAGATATTGAATCTCCAAAGTGCTTTTAT
TTACTTGAAAAATTAAGCAATGAATTGAATGTTCCTATATGGCATGATGA
CCAGCAAGGTACTGCTGGTGCTACACTGGCTGGACTCTACAACGCACTAA
AAATAACAGATAGAAAAATTAAGGAAACTAGGGTTGTTTTATTGGGTTCA
GGAGCTTCAAATATTGCTACTGCTAAACTTTTGATAAGCGCTGGATTTGA
TGCAGGAAATTTGATTATGATAGATTCAAAAGGAATTTTACATCCTGAAA
GAGAAGATATGGATAAACTCATGTTAAGCAATCCATGGAAATATGAGCTT
GCAATAAAAACAAACAAGGATAGGATAAAGGGAGGAATAAAAGAAGCATT
GATCGGCTCCGATGTTCTAATAGCAGCTTCAAAACCAGGCCCTAATACTT
TTAATAAAGAATACATTAAAGAAATGAATAAAGACGCTATAGTATTCCTT
TTAGCAAATCCAATTCCTGAAATATGGCCTTGGGAAGCAAAGGAAATGGG
CGCTAAAATAGTAGCTACGGGTAGATCAGATTTTCCAAATCAAATAAACA
ATAGTTTAATATTTCCATCTGTTTTCAGAGGAGCGTTGGATGCAAAATCA
AAGAAAATAAGCAATGAAATGATAATCGAAGCTTCTAAAGAATTAGCTAA
ATATGCCGAAGAGAAAGGTTTAAATGAGAACTATATAATTCCTACAATGA
ACGAATGGGAAGCTTATCCAAGGGTTGCGGCAGCAGTAGCGTATAAAGCT
TTAGAACTTGGTTTTGCAAGGGAAAAAATGAGCAAACAAGAATATTACGA
AAAAGCCAAGAAAATAATAGAAGAAAGTAGGCATTCATTGAAAGTATTGA
TAGAGAAAGGAATCATAAGAAATTATATAAATTATCTATAA
</t>
  </si>
  <si>
    <t>3.1.2.1</t>
  </si>
  <si>
    <t>Acetyl-CoA hydrolase</t>
  </si>
  <si>
    <t>cren1_8best_scaffolds_00019430</t>
  </si>
  <si>
    <t xml:space="preserve">MKVEDLSSKIASPEEAIKKYFPKKGIIAFGGMAGTSYPKAIPKKLSELIQ
KGEFDASDYVILSGGTETMEFESWISNLKISRKFPLGASSTILRDPVNER
KIPAMDYWLYEFSSLISRGVLSRKIGNIDLTIIEATGIDDEGIVPSLSVD
ATPSFIENSKKVIIELNESKPNLKGFHDIFLPKAGKEIMIKNPLDRIGRI
VYNIPFSKIAAIVVTNEEESEKIHYSGITNADLKIVDNIIDFLLKEIKED
ENLRSEYFTLQPAAGPVAGALSRKIHELETNIWIWGEVAATSWIETLSRN
VKGISASSIYTLPGEQNFRKKLYEEIENLRKYIVIRPYEIANNPQVIARF
YHVVVQQAVEVDIYGNANVSHIGPNLMVGVGGSGDHTRPSYITILALQST
TSNEKISRIVPLLRHVDIPEHDVDILVTEQGWVDLRFLSPIERAERIIEK
CAHPKFKDDLFEYLGKIKKIKGHEPYEINHALKYWFS
</t>
  </si>
  <si>
    <t xml:space="preserve">ATGAAAGTGGAAGATTTATCTTCTAAGATAGCTTCTCCCGAGGAAGCAAT
TAAGAAATATTTTCCTAAAAAAGGGATAATTGCCTTTGGTGGCATGGCTG
GCACTTCCTACCCTAAAGCTATTCCAAAAAAGCTATCTGAATTAATACAA
AAAGGTGAGTTTGATGCAAGCGATTATGTTATTTTGAGCGGAGGAACTGA
GACTATGGAATTTGAAAGTTGGATTAGTAACTTAAAAATATCAAGAAAGT
TTCCTCTTGGTGCTTCCTCCACAATATTAAGAGACCCAGTAAATGAAAGG
AAAATACCTGCAATGGATTATTGGTTATATGAATTTTCAAGCTTGATTAG
CAGAGGAGTATTATCTAGGAAGATTGGAAACATAGACTTAACTATAATTG
AGGCGACGGGAATTGATGATGAAGGAATAGTGCCTAGTTTATCTGTCGAT
GCCACCCCTTCGTTCATTGAGAATTCAAAGAAAGTAATTATAGAGCTGAA
TGAATCAAAGCCAAATTTAAAAGGTTTTCATGATATATTCTTGCCTAAAG
CAGGAAAAGAAATAATGATTAAAAATCCTTTGGACAGAATTGGTAGAATA
GTTTACAATATTCCTTTTTCTAAAATTGCTGCCATTGTTGTTACAAATGA
AGAGGAAAGTGAAAAAATTCATTATAGTGGTATCACAAATGCAGATTTAA
AAATTGTAGATAACATAATAGATTTTCTACTAAAAGAAATAAAAGAAGAT
GAAAATTTAAGAAGCGAATATTTTACACTTCAGCCTGCTGCAGGACCTGT
TGCTGGTGCTCTCTCTAGAAAAATTCACGAGTTGGAAACAAACATTTGGA
TTTGGGGTGAGGTGGCAGCTACATCTTGGATAGAAACGTTAAGCAGAAAC
GTAAAAGGAATATCCGCATCTTCAATATATACTTTGCCGGGTGAACAAAA
TTTTAGAAAAAAACTTTATGAAGAAATTGAAAATCTAAGAAAATATATTG
TCATTAGACCATACGAAATTGCTAATAATCCACAAGTAATTGCAAGATTT
TACCATGTAGTAGTTCAGCAGGCTGTAGAGGTTGATATTTATGGTAATGC
AAATGTATCTCATATTGGTCCGAATTTAATGGTCGGTGTAGGTGGTTCAG
GAGATCATACAAGACCTTCTTATATAACTATTCTTGCGCTACAGTCTACA
ACAAGCAATGAAAAAATATCAAGAATCGTACCTTTATTACGACATGTTGA
TATACCTGAGCATGATGTAGATATTTTAGTAACCGAACAGGGTTGGGTAG
ATTTAAGATTTTTATCTCCTATAGAGAGAGCAGAAAGAATAATCGAGAAA
TGTGCTCATCCAAAATTTAAAGATGACTTATTTGAATATTTGGGAAAAAT
CAAAAAAATTAAAGGTCATGAACCTTATGAAATAAATCATGCTTTAAAAT
ATTGGTTTAGTTGA
</t>
  </si>
  <si>
    <t>1.1.2.4</t>
  </si>
  <si>
    <t>FAD/FMN-containing dehydrogenases</t>
  </si>
  <si>
    <t>cren1_8best_scaffolds_00014820</t>
  </si>
  <si>
    <t>MNDSLKKIEFIKDPSKIEDYLTDESLIVKGSAEKVYLPKNEEEAIEVIKY
CYENNYRLTISGAGTGITGSRVPLGGIVLSTENLTQTYCEDYLKKLSINE
NGRYYSIFIKEENNKYYAVCPPGIPIRTLNSMLEKEGFYYAPDPTETNAF
LGGAVATNASGPRTFYYGTTRDNVKRLRVILPDGNILDLERGMHKFKGRE
IHFKLNGKEYKIKIPRINYPQVKKNVAGYYLKSDMDLVDLFIGSEGTLGL
FSQIEVKIHVKPKQIYPIYLFFDEEIKAYNFSKILKLNENREKIGIISLE
FFDERSTNLVKDKYRDIFGEEANSILFLEIKEEKGKELDNLEKLLEEKGN
IKSAVFSEDEIAKTKEIRHEIPATINSIVRKYGLKKIASDIAVPSDKLDK
MYNTYVENGKSSGIDYYIFGHIGDDHLHFNFLPKNKEEMMKGWKIIARFL
EKAVTLGGTVTAEHGLGKKAIPINDQEKYLIEFMYKEEEIREMLKVKKAL
DEKLILNVGNIIPLKYY</t>
  </si>
  <si>
    <t>ATGAATGATTCATTGAAGAAAATTGAATTTATAAAAGATCCCTCTAAAAT
TGAAGATTACTTAACTGACGAATCTTTAATTGTTAAGGGAAGCGCAGAAA
AAGTTTATCTTCCTAAGAATGAAGAGGAAGCCATTGAAGTAATTAAGTAT
TGTTATGAAAATAATTATAGGCTTACAATATCAGGTGCTGGAACAGGAAT
AACAGGTTCAAGGGTGCCTTTAGGAGGAATAGTTTTATCTACAGAAAATT
TAACCCAAACTTATTGCGAAGATTATTTAAAGAAACTTTCAATTAATGAA
AATGGGAGATATTATTCAATTTTTATTAAAGAGGAAAACAACAAGTATTA
TGCTGTTTGTCCGCCAGGAATACCGATAAGAACCTTAAATAGTATGCTTG
AAAAAGAAGGCTTTTACTATGCTCCCGATCCTACTGAAACAAATGCGTTT
TTAGGAGGAGCTGTAGCAACAAACGCATCGGGCCCTAGAACTTTCTATTA
TGGTACAACACGAGATAATGTAAAGAGATTAAGAGTTATACTACCTGATG
GAAATATACTTGATTTGGAAAGAGGAATGCATAAGTTCAAGGGAAGAGAA
ATACATTTCAAACTTAATGGAAAAGAATACAAGATCAAGATACCTCGAAT
CAATTATCCACAAGTCAAGAAAAATGTAGCAGGCTATTATTTGAAAAGTG
ATATGGATTTGGTCGATTTATTCATAGGCTCAGAAGGCACCTTAGGACTC
TTTTCTCAAATAGAAGTAAAAATACATGTGAAACCTAAGCAAATTTATCC
CATTTATCTTTTTTTCGATGAAGAAATAAAAGCCTATAATTTTTCAAAAA
TTTTAAAGTTGAATGAGAATAGAGAAAAAATAGGAATTATATCCTTGGAA
TTTTTTGATGAAAGATCAACAAACCTCGTAAAAGACAAATATCGTGATAT
ATTTGGTGAAGAAGCGAATTCAATACTCTTTTTAGAGATTAAAGAAGAAA
AAGGAAAGGAATTGGATAATCTTGAGAAACTATTGGAAGAAAAAGGAAAC
ATAAAAAGTGCTGTTTTTAGCGAAGATGAGATAGCCAAAACTAAGGAAAT
AAGGCATGAAATCCCCGCAACAATAAATTCAATCGTTAGAAAATACGGTT
TGAAAAAAATTGCTTCAGACATAGCGGTTCCTAGTGATAAATTGGATAAG
ATGTATAACACTTACGTAGAAAATGGCAAAAGCAGTGGTATCGATTACTA
TATATTTGGTCATATAGGAGATGATCATCTACATTTTAACTTTCTTCCTA
AAAATAAAGAAGAAATGATGAAAGGTTGGAAGATAATAGCTAGATTTTTA
GAAAAAGCAGTTACTTTAGGCGGAACCGTTACAGCTGAACATGGATTAGG
GAAAAAGGCTATACCTATCAACGATCAAGAGAAATATTTAATAGAGTTCA
TGTATAAGGAAGAAGAAATAAGAGAGATGCTCAAAGTCAAAAAGGCTCTC
GATGAAAAGCTAATTCTAAACGTTGGAAATATCATTCCTCTGAAATACTA
CTGA</t>
  </si>
  <si>
    <t>1.1.1.119</t>
  </si>
  <si>
    <t>Threonine dehydrogenase and related Zn-dependent dehydrogenases</t>
  </si>
  <si>
    <t>cren1_8best_scaffolds_00013810</t>
  </si>
  <si>
    <t xml:space="preserve">MKALLVKPGKEGIELKYLDIREENMIKVRTLFTGICGTDREIVNNVLKFV
RAEKGEYLVLGHEGLGIVEQSIEGSKLKEGDLVVPMVRRPGKCIMCRIGR
QDYCIDGDFVEAGIRGKDGFMREYFYDREEFLIKVSKEIQDIAVLVEPTK
NVMKIKEVFDFLKNRVVWHCEDSTYSCKGAWVFGTGTEGLLISSVFKSLG
FNVTIVNVHPLDERIMKFLDKNRISFFNSSKDDWNKALKDNPMDLAIDAA
GTTDVFESCINHLNNNGIFIFFGTRGSGKIEGGEFIAKIVDKNLSLAGVE
DGSKKHYIEAAEFLKNYGKEYYLNDLITGIYHPEDIWLFKEKPKEEIKSI
IKWH
</t>
  </si>
  <si>
    <t>ATGAAAGCCTTATTGGTTAAACCTGGTAAAGAAGGAATTGAATTGAAGTA
TTTAGATATTAGAGAAGAAAATATGATAAAAGTCAGAACACTATTTACAG
GAATATGCGGAACTGATAGAGAAATTGTTAATAACGTTTTAAAATTTGTA
AGAGCTGAGAAAGGAGAATACTTAGTTCTTGGACATGAGGGATTAGGTAT
AGTTGAGCAAAGTATAGAAGGTTCAAAATTAAAGGAAGGAGATTTAGTTG
TTCCTATGGTTAGAAGACCTGGAAAATGCATAATGTGCAGAATCGGAAGG
CAAGATTATTGCATAGATGGTGATTTTGTTGAAGCCGGAATAAGAGGAAA
AGATGGGTTTATGCGTGAATATTTCTATGATAGGGAGGAATTCTTAATAA
AAGTGAGTAAGGAAATTCAGGATATTGCTGTTCTAGTTGAGCCTACTAAA
AATGTCATGAAAATTAAGGAAGTATTTGATTTTCTTAAAAACAGGGTCGT
TTGGCATTGCGAAGATTCGACATATTCATGCAAAGGTGCATGGGTATTTG
GCACGGGTACGGAGGGTTTGTTGATTTCATCAGTATTCAAAAGCTTAGGT
TTTAATGTAACGATTGTTAACGTGCACCCTCTTGATGAAAGGATAATGAA
ATTTTTAGATAAAAATAGGATAAGCTTTTTCAATTCATCTAAAGATGATT
GGAATAAAGCATTGAAAGATAATCCTATGGATTTGGCCATTGATGCAGCA
GGAACAACAGATGTTTTTGAATCATGTATAAACCATCTCAATAACAACGG
TATTTTCATATTCTTCGGAACAAGAGGTTCAGGAAAAATAGAGGGTGGTG
AGTTTATTGCTAAAATCGTTGATAAAAACCTTTCTTTAGCAGGAGTTGAA
GATGGGAGTAAAAAACATTATATTGAAGCTGCTGAGTTTTTGAAAAATTA
CGGTAAAGAATATTACTTGAATGATTTAATCACAGGAATATATCACCCAG
AAGACATTTGGCTTTTTAAAGAAAAACCAAAGGAAGAAATTAAAAGTATA
ATAAAATGGCATTAA</t>
  </si>
  <si>
    <t>3.1.1.17</t>
  </si>
  <si>
    <t>assumed</t>
  </si>
  <si>
    <t>4.2.1.39</t>
  </si>
  <si>
    <t>L-alanine-DL-glutamate epimerase and related enzymes of enolase superfamily</t>
  </si>
  <si>
    <t>cren1_8best_scaffolds_00013790</t>
  </si>
  <si>
    <t>MGKIKEIEIFELGEKETATPWSSTILILRLVTSDGYVGYGEAPTTLMTLP
VYEQLREVARIFKNKEVTEIEKNVKEFYKHSFYLTVSVEATSALSAFEIA
SWDILGKMLGAPVYLFLGGKLRDKVKAYSNGWYSDCVYPEDFVKKAKDLE
KKGYKAIKFDPFGNQFNTIDDEHLKRAEAIVSALKENTSLELLIEFHGRF
DAISAIKAGKILEKYNPLFMEEPVHPDLFEGLIKFRKNVNTRIALGERVL
NKNLFIPYLKENLVDIIQPDVTNVGGIFEAKHCSVIADAFGVGVAYHNAF
GPVQTAATLQLDANIYNFVIQESFEDSWPRWKNDLIKKGYRIEDGYYIVP
SDPGLGIEINEKILEEFKIEGMESFNEEEPLWVVKGTFK</t>
  </si>
  <si>
    <t xml:space="preserve">ATGGGCAAAATAAAAGAAATTGAAATATTTGAATTGGGAGAAAAAGAAAC
GGCTACACCTTGGAGTTCAACTATTTTGATTCTAAGATTGGTTACCTCAG
ATGGTTATGTAGGCTATGGAGAAGCGCCTACAACTTTGATGACCCTTCCA
GTATATGAGCAGCTTAGAGAGGTTGCTAGAATATTCAAGAATAAAGAAGT
AACAGAAATAGAAAAAAATGTGAAGGAATTTTACAAGCATTCTTTCTATT
TAACTGTTTCAGTTGAAGCTACATCTGCTCTTAGCGCATTTGAAATAGCT
TCTTGGGATATTCTGGGAAAAATGCTAGGGGCTCCAGTTTATTTGTTTTT
AGGAGGAAAACTTAGAGACAAAGTTAAAGCATATTCTAATGGGTGGTATT
CAGATTGTGTTTATCCTGAAGACTTTGTTAAAAAAGCTAAAGATTTGGAA
AAGAAAGGATACAAGGCTATAAAGTTCGATCCTTTTGGAAACCAATTTAA
TACAATAGACGATGAACATTTAAAGAGAGCTGAAGCTATTGTTTCGGCTT
TAAAGGAAAATACTTCTTTAGAACTTCTAATCGAATTTCATGGCAGATTT
GATGCAATTTCTGCAATAAAGGCAGGAAAAATTTTGGAAAAATATAATCC
GCTATTTATGGAAGAGCCAGTACATCCTGATTTGTTTGAAGGGTTGATCA
AGTTCAGGAAAAATGTTAACACAAGAATAGCATTAGGCGAAAGGGTTCTT
AATAAAAATCTTTTTATTCCTTACTTGAAAGAAAACCTAGTTGATATAAT
CCAGCCAGATGTGACAAACGTAGGTGGAATTTTTGAGGCAAAACACTGTT
CAGTAATTGCAGATGCTTTTGGAGTAGGTGTAGCATATCACAATGCCTTT
GGTCCTGTTCAAACTGCAGCTACGCTTCAATTAGATGCTAACATTTATAA
CTTTGTAATCCAGGAAAGCTTTGAAGATTCTTGGCCAAGATGGAAGAATG
ATTTAATCAAAAAAGGATACAGAATTGAGGATGGATACTACATAGTTCCC
TCCGATCCTGGATTAGGTATAGAGATAAACGAGAAGATCCTTGAAGAATT
TAAAATTGAAGGAATGGAAAGTTTCAATGAAGAAGAACCTCTTTGGGTTG
TTAAGGGAACTTTCAAATGA
</t>
  </si>
  <si>
    <t>2.7.1.45</t>
  </si>
  <si>
    <t>Dihydrodipicolinate synthase/N-acetylneuraminate lyase</t>
  </si>
  <si>
    <t>cren1_8best_scaffolds_00018340</t>
  </si>
  <si>
    <t xml:space="preserve">MQHLIVPIITPFTKDNKVDTKKLKDHAKNLLEKGIDIFFLNGTTGLGPSL
SSEEKKSNLEALYEVTNKIIFQIGGLNLQEIISLAKYASKFDIIGIASYP
PYYYPRYGENWVKKYYEALCEASERPVYIYNYPGATNIDVEPKIVAQLPE
KVSGIKDTNQDLAHSLEYKRLIPRLRVYNGSDTLVFSSLASELDGVVASC
GNYIPEALVNIRRLVNENKRFEAIKIQFLINKLVSVARKYGQLSANYVLV
KLVQKYDVGFPREPIFPLNNEEESMLKKEAEPIIHELINV
</t>
  </si>
  <si>
    <t>ATGCAACATTTGATTGTACCTATAATAACTCCTTTTACAAAGGATAATAA
AGTAGATACAAAAAAGCTGAAAGATCATGCAAAAAATTTACTTGAAAAAG
GAATTGACATTTTCTTTTTAAACGGGACAACTGGTTTGGGGCCTTCTCTA
TCCTCAGAAGAGAAAAAATCGAACTTAGAAGCTCTATATGAAGTAACGAA
TAAAATAATTTTCCAAATAGGCGGCCTAAATCTGCAGGAAATAATTTCTT
TAGCAAAGTATGCTTCAAAATTTGATATAATAGGAATTGCTTCTTATCCT
CCCTATTATTATCCTAGATATGGTGAAAACTGGGTTAAGAAATACTATGA
AGCACTATGCGAAGCAAGCGAAAGACCTGTTTATATTTACAATTATCCAG
GCGCTACTAATATTGATGTAGAACCAAAGATTGTTGCTCAATTGCCTGAG
AAGGTATCAGGAATTAAAGATACTAATCAAGATTTGGCCCATTCATTGGA
ATATAAAAGATTGATTCCAAGGCTAAGAGTTTACAACGGCTCCGATACTC
TGGTTTTTTCATCCTTAGCAAGTGAGCTTGATGGCGTAGTAGCAAGCTGT
GGAAATTATATTCCTGAAGCACTTGTTAATATTAGAAGATTAGTTAATGA
AAATAAGAGATTCGAGGCTATAAAAATTCAGTTTTTGATCAATAAACTAG
TAAGTGTTGCAAGAAAATATGGTCAGCTCTCTGCAAATTATGTCCTGGTA
AAGCTTGTTCAAAAGTACGATGTCGGTTTCCCTAGAGAACCAATATTTCC
TTTAAATAATGAAGAAGAAAGCATGCTAAAAAAGGAAGCTGAACCAATTA
TTCACGAGTTAATCAATGTCTAA</t>
  </si>
  <si>
    <t>4.1.2.14</t>
  </si>
  <si>
    <t>4.2.1.12</t>
  </si>
  <si>
    <t>1.1.1.44</t>
  </si>
  <si>
    <t>6-phosphogluconate dehydrogenase, decarboxylating</t>
  </si>
  <si>
    <t>cren1_8best_scaffolds_00008090</t>
  </si>
  <si>
    <t>MGANLALQFSEKGYKVSIYNRTKEKTELFIKSVKPKNVQATFSIGEFVRS
LKRPRIIIMLVKPGKPVDESIDNLSKEVEKGDMIIDAGNSYFKDTDRRYK
VLKERGVEFLGLGISGGIEGARYGLSIMAGGSKEGYYLIREILNNISAKY
NGYFCNEYFGEGGAGHFVKMVHNGIEYSLIESISETYYILKNLLGKTNEE
ISDIFGEWNKGELNSFLLNAASEILKIKEDKGYLLDFILDKAEQKGTGIW
TVQTSLEAEEPIPSIQSAVIARMLSSKKEERVKLSKFFSLKQERDANVLT
RDDLKCALSLSYCVSYLQGIKLLEKCNTFSYDFKYKDCLKVWRAGSIIRS
SFLNNLFLISEKNNNLFEETFIIKTIRENIGGLIKTVSTALKSSMPCMTL
AANLNYILYLFTENLHANLTQALRDYFGGHGFQRIDKPGIFHIQTPILD</t>
  </si>
  <si>
    <t>ATGGGAGCAAATTTGGCCTTACAGTTTTCAGAAAAAGGTTATAAAGTGAG
CATATACAATAGAACAAAGGAAAAAACTGAATTATTCATTAAAAGCGTTA
AGCCTAAAAATGTTCAGGCTACATTCTCTATTGGGGAGTTTGTCAGATCT
CTAAAAAGACCAAGAATAATAATAATGCTTGTTAAACCAGGTAAGCCAGT
TGATGAATCGATAGATAATTTATCCAAGGAAGTGGAAAAAGGTGATATGA
TTATTGATGCAGGTAATTCTTATTTTAAAGACACAGATAGGAGATATAAA
GTATTAAAAGAAAGGGGGGTTGAATTTTTAGGATTAGGAATAAGCGGGGG
GATAGAAGGAGCCAGATATGGGCTAAGTATAATGGCAGGGGGTAGTAAAG
AAGGTTATTATTTAATTAGAGAAATTTTAAACAATATTTCTGCAAAATAT
AATGGTTACTTTTGTAACGAATACTTTGGTGAAGGAGGTGCAGGACATTT
TGTGAAAATGGTTCATAATGGAATAGAATATTCCTTAATAGAAAGCATTT
CTGAAACTTATTATATACTTAAAAATCTTCTAGGTAAAACAAATGAAGAA
ATATCAGATATTTTTGGTGAATGGAATAAAGGTGAATTAAATTCATTTCT
TCTTAACGCTGCAAGTGAAATTTTAAAAATCAAAGAAGATAAAGGATACC
TATTGGATTTTATTCTTGATAAGGCCGAACAAAAAGGAACAGGCATATGG
ACTGTTCAAACTTCTCTTGAAGCCGAGGAACCGATACCTAGTATACAATC
TGCAGTAATAGCTAGAATGTTATCAAGCAAGAAGGAAGAAAGAGTTAAAT
TATCGAAATTCTTTTCTCTTAAACAAGAAAGGGATGCAAACGTTTTAACA
AGGGATGATTTAAAATGCGCATTATCTTTATCTTATTGTGTGTCTTATTT
ACAGGGAATTAAACTTCTAGAAAAATGCAACACCTTTTCCTACGATTTCA
AGTATAAGGATTGCTTAAAGGTGTGGAGAGCTGGAAGTATAATAAGAAGT
AGTTTTCTTAATAATTTGTTTTTAATTAGCGAAAAAAATAACAATCTTTT
TGAAGAAACGTTTATTATTAAAACAATAAGAGAAAATATTGGAGGATTGA
TTAAAACAGTTTCAACGGCTTTGAAATCAAGCATGCCATGCATGACTTTG
GCAGCCAATTTGAATTACATCTTGTACTTGTTCACTGAAAATCTTCATGC
AAATTTAACTCAAGCACTGAGGGATTACTTCGGAGGCCACGGTTTCCAAA
GAATAGATAAGCCAGGAATTTTCCATATTCAAACTCCAATTTTGGATTAA</t>
  </si>
  <si>
    <t>ribose 5-phosphate isomerase</t>
  </si>
  <si>
    <t>cren1_8best_scaffolds_00005930</t>
  </si>
  <si>
    <t xml:space="preserve">MNSQIIQAKLNAVKEALKYIKDGMILGLGSGSTVELLIENLDKKIKQEKL
EIHLIPASSQTYFSLVNRGIKPESLDLYDEVDLTIDGADEVDERKYALKG
RGGALLREKILSSYSKTYIIIVDYTKYSKIIGEKASVCIEVIPFAATPVL
KRIKKMCEKAHIRYGERLKDGPIVTDNHNYIIDAYFGKIENPENLSNEIN
KISGVVENGIFLENISKIIVGYEKDVKII
</t>
  </si>
  <si>
    <t>ATGAATAGCCAAATTATTCAAGCTAAGCTTAATGCAGTAAAAGAAGCTTT
AAAGTACATCAAAGATGGTATGATATTAGGTCTCGGTTCTGGAAGCACCG
TTGAATTGCTAATTGAAAATTTGGATAAAAAAATAAAACAAGAGAAACTG
GAAATTCATCTCATACCTGCTTCATCGCAGACATATTTTAGTCTTGTCAA
CAGGGGTATAAAGCCTGAAAGCTTAGATCTTTACGATGAAGTTGATTTAA
CAATCGACGGTGCAGATGAAGTTGATGAAAGGAAATATGCATTAAAAGGC
AGAGGTGGTGCTTTGCTAAGGGAAAAGATTCTTTCTTCATATTCAAAAAC
ATACATCATAATTGTAGATTATACCAAATACTCAAAAATTATAGGAGAAA
AGGCAAGCGTTTGCATAGAGGTTATTCCTTTTGCAGCTACGCCGGTTTTA
AAAAGAATAAAAAAAATGTGCGAAAAAGCTCATATCAGATACGGAGAAAG
ATTAAAAGATGGGCCTATAGTTACTGATAACCATAATTACATTATAGATG
CATATTTTGGGAAAATAGAAAATCCCGAGAATTTGTCAAATGAGATTAAC
AAGATTTCTGGCGTCGTCGAAAATGGGATTTTTTTAGAAAATATATCTAA
AATAATTGTAGGCTACGAAAAAGATGTTAAAATTATTTAA</t>
  </si>
  <si>
    <t>sugar-phosphate isomerases, RpiB/LacA/LacB family</t>
  </si>
  <si>
    <t>cren1_8best_scaffolds_00012530</t>
  </si>
  <si>
    <t>MAIISVGSDDLYPVAIFVAEELKRRGYNVILHGALKTNKLEPWPDVAKDV
AMDVLSGKAFTGIVVCYTGTGVSIAANKIKGIRAALCYDAQTARGARLWN
DANVLALSGRLTSNQVAKEILDEWLSVKQIDESERENINKLKNLEELEKI
V</t>
  </si>
  <si>
    <t xml:space="preserve">ATGGCAATAATATCTGTAGGTAGCGATGATTTATATCCTGTTGCAATATT
TGTTGCAGAGGAATTAAAAAGGAGAGGTTATAATGTAATACTTCATGGTG
CATTAAAAACAAATAAGCTTGAACCGTGGCCAGATGTCGCTAAGGATGTC
GCCATGGATGTATTGAGTGGAAAGGCCTTTACAGGAATCGTTGTTTGCTA
TACAGGAACTGGTGTTTCAATAGCTGCTAATAAAATTAAAGGAATAAGAG
CAGCTTTATGTTATGATGCCCAAACAGCAAGAGGGGCAAGACTTTGGAAT
GATGCAAACGTTTTGGCCTTAAGCGGAAGATTGACTAGTAATCAAGTGGC
TAAGGAAATTTTAGATGAATGGTTATCAGTCAAGCAAATAGATGAAAGCG
AAAGAGAAAATATAAATAAGTTAAAAAATCTTGAAGAATTAGAAAAAATT
GTTTAG
</t>
  </si>
  <si>
    <t>-</t>
  </si>
  <si>
    <t>5.3.1.6</t>
  </si>
  <si>
    <t>2.7.6.1</t>
  </si>
  <si>
    <t>ribose-phosphate pyrophosphokinase</t>
  </si>
  <si>
    <t xml:space="preserve">MSNILLLSGAKHLHKPLQEAIFKRNLRFSVHEVDHVYFPDTEQYVRIPVE
KGLPNIVIQSMYSEPDRRIIESILATRTLKDLGVNYLIGFFTYLAYARQD
RRIKEGEAISQKIIIECLFNAGIDKAYVFEIHTRNESALFKNFNITNLSC
VKLFADYYVEFKGRKDLKIISPDSGSYNMASELAKLLEVNSGFCSKKRIS
GSEVKVGEVSTEVNGYDVILIDDIISTGNTMSEAIELLRNKGAVNIFVTA
THGLFVGNAVDKLKSLKVKDIVTTNTVMNEFAKIDISGMIVDEISKLENH
VKH
</t>
  </si>
  <si>
    <t xml:space="preserve">ATGAGTAATATACTATTACTTTCGGGTGCAAAGCATTTACATAAACCTTT
GCAAGAAGCTATTTTTAAAAGGAATTTAAGATTTAGTGTTCATGAAGTTG
ATCATGTATATTTTCCAGATACAGAACAATACGTTAGAATACCTGTAGAA
AAAGGATTGCCAAATATAGTTATTCAATCGATGTATAGTGAACCTGATAG
AAGAATTATAGAATCAATTCTTGCTACAAGAACCTTAAAAGATTTAGGTG
TAAACTACTTAATAGGATTCTTTACCTACCTTGCCTATGCTAGACAGGAT
AGAAGAATAAAGGAGGGTGAGGCGATTAGCCAAAAAATAATAATTGAATG
TCTTTTTAATGCTGGTATTGATAAAGCTTACGTGTTCGAGATCCATACCA
GAAACGAAAGTGCTCTTTTTAAAAACTTTAACATAACAAATTTATCGTGT
GTCAAACTATTTGCAGATTATTATGTTGAGTTTAAAGGTAGAAAAGATTT
GAAGATCATAAGTCCCGATTCAGGTTCCTATAACATGGCTTCTGAATTAG
CTAAATTGCTTGAAGTAAATTCAGGTTTTTGTAGTAAAAAAAGGATTAGT
GGAAGCGAAGTAAAAGTAGGAGAAGTATCTACAGAAGTGAACGGTTATGA
TGTAATTCTTATAGACGATATAATAAGCACGGGGAATACGATGTCTGAAG
CAATCGAATTGCTTAGAAATAAAGGGGCTGTTAATATTTTTGTTACTGCA
ACACATGGTCTTTTTGTAGGAAACGCTGTTGATAAATTAAAGAGCTTGAA
GGTTAAAGATATTGTTACCACAAACACGGTAATGAATGAATTTGCAAAAA
TTGATATAAGTGGTATGATTGTTGATGAAATTTCTAAATTAGAAAACCAT
GTTAAACATTAA
</t>
  </si>
  <si>
    <t>cren1_8best_scaffolds_00008490</t>
  </si>
  <si>
    <t>2.2.1.1</t>
  </si>
  <si>
    <t>Transketolase, C-terminal subunit</t>
  </si>
  <si>
    <t>cren1_8best_scaffolds_00002980</t>
  </si>
  <si>
    <t>MFLSRAWEQIRNTVCKDNLNVKFIVTHSGLSDHLDGYSHQSLEDIAIFRV
IPNMKVVVPSDSIALRKLLRKAVEIEGPFYIRLGRDNEIRIYEDHEEFEI
GKAKILFKGKDAYIIACGTMVGISLEISRILKEKGLNVGVVDMHTIKPLD
QNTLLNISKDVPIIFTLEEHSIIGGLGSAVSEFISETNPIPVKRLGINDR
FGTCGRSYFELLSYFNLLPEQLAKRIEVILNS</t>
  </si>
  <si>
    <t xml:space="preserve">ATGTTCCTATCTAGAGCATGGGAACAAATAAGGAATACAGTATGTAAAGA
TAATTTGAATGTAAAATTCATAGTCACACATTCAGGACTCTCTGATCATC
TTGATGGATATTCTCACCAGTCACTTGAAGATATTGCAATATTTAGAGTT
ATTCCTAACATGAAAGTAGTCGTACCTTCTGATTCTATAGCTCTTAGGAA
ATTATTAAGGAAAGCTGTAGAAATCGAAGGACCTTTTTACATAAGATTAG
GCAGAGATAATGAAATTAGAATCTATGAAGATCATGAAGAATTTGAAATA
GGCAAAGCTAAGATTTTGTTTAAAGGAAAGGATGCTTATATAATAGCCTG
TGGTACAATGGTTGGTATTTCATTGGAAATTTCACGAATTCTTAAAGAGA
AAGGCCTAAATGTAGGGGTTGTTGATATGCATACAATCAAGCCTTTAGAT
CAAAACACTCTCCTTAACATTTCAAAAGATGTTCCAATTATATTTACTTT
AGAGGAACATAGCATAATAGGAGGTCTTGGGAGCGCTGTTTCTGAATTTA
TATCTGAGACAAATCCAATTCCTGTTAAAAGGTTAGGAATTAATGATAGA
TTTGGAACATGTGGAAGAAGCTATTTTGAGCTTTTAAGTTACTTTAATTT
GTTGCCTGAACAATTAGCCAAAAGAATAGAGGTGATCTTAAATTCCTAA
</t>
  </si>
  <si>
    <t>Transketolase, N-terminal subunit</t>
  </si>
  <si>
    <t>cren1_8best_scaffolds_00002990</t>
  </si>
  <si>
    <t>MRPKDLYLTSFYKIYANFLNERRGKEVSLIVSRLQSVFEEVAKKLDNWHY
ESAKSALNILHAVYFDWLKGGNRLFILSKSHSSLALYSVFIELGYISFAD
LDKFAKPDSNLQSHPEGKSFPTIMVSTGSLGQALSIAAGISFAKRIDKEN
VEIAVLMGDGELNEGQVWESIATISHNKLNNIIAIVDRNGIQLSGETDKI
KNLNNIEKKFEAFGWFTLTCDGSSIYEISKCLNTCSLITDRPKAVICDTS
MLLKKGVM</t>
  </si>
  <si>
    <t>ATGAGACCGAAAGATTTATATTTAACCAGTTTTTATAAAATTTATGCAAA
TTTCCTCAATGAAAGAAGAGGAAAGGAGGTGAGTCTTATTGTATCGAGAC
TACAATCCGTATTTGAGGAAGTTGCAAAGAAACTCGATAATTGGCATTAC
GAGTCAGCAAAGTCTGCTTTAAACATACTTCACGCAGTCTATTTTGATTG
GCTTAAAGGGGGTAACAGATTATTCATTCTCAGTAAAAGCCATTCATCGC
TAGCTTTATATTCAGTATTCATTGAACTAGGTTACATAAGTTTTGCCGAT
CTCGATAAATTCGCAAAGCCGGATTCGAATTTGCAATCGCATCCAGAAGG
TAAAAGTTTCCCAACGATAATGGTTTCAACTGGTTCATTAGGCCAAGCTC
TTTCAATTGCAGCAGGAATTTCATTTGCTAAAAGGATAGACAAAGAAAAT
GTAGAAATAGCAGTATTAATGGGCGACGGTGAACTTAATGAAGGACAAGT
TTGGGAATCTATAGCCACAATTTCCCATAATAAGCTTAATAATATAATTG
CAATCGTCGATAGAAATGGAATTCAGCTAAGCGGGGAAACAGACAAAATA
AAGAATCTGAACAACATTGAAAAGAAATTTGAAGCGTTCGGATGGTTTAC
TTTAACATGCGATGGTTCATCAATTTATGAAATATCTAAGTGTTTAAACA
CATGCAGCCTAATAACTGATAGACCAAAAGCAGTAATATGCGATACTAGC
ATGTTATTAAAGAAAGGGGTGATGTAA</t>
  </si>
  <si>
    <t>3.1.3.37</t>
  </si>
  <si>
    <t>3-hexulose-6-phosphate synthase and related proteins</t>
  </si>
  <si>
    <t>cren1_8best_scaffolds_00009960</t>
  </si>
  <si>
    <t>MVAIQAIINVMDYDEAINAAETAYLKGAEIIEIGTKLIKKFGLNIAKDIK
LRLPRTKIYLDTLIIEDPEFDFEIARECGADIISVLGISSLEVIRKCLEL
SRKYVIDIALDFSGISDPVNKVLETIQVGPFYYRINMPKGRSEELGFEMR
QYYKSIKELARVSPVPIAVRINNNLSIIPYIINSGVSYIILDIYRNSESE
IESLFNGVNKAITTAFL</t>
  </si>
  <si>
    <t xml:space="preserve">ATGGTAGCTATACAAGCCATTATAAATGTTATGGACTATGATGAAGCAAT
AAATGCAGCAGAAACCGCTTACTTAAAAGGAGCCGAGATAATTGAAATAG
GCACAAAATTGATCAAGAAATTTGGTTTAAACATAGCAAAGGACATAAAA
TTAAGATTACCTAGAACTAAAATTTATTTGGATACACTTATAATTGAGGA
TCCTGAGTTTGATTTCGAAATTGCACGTGAATGCGGTGCAGATATAATTT
CTGTTTTGGGGATATCATCTTTGGAAGTAATACGTAAATGCCTAGAGCTA
AGCAGAAAATATGTAATTGACATTGCTCTTGATTTCTCAGGAATAAGTGA
TCCTGTTAACAAAGTCCTTGAAACAATCCAAGTGGGTCCTTTTTATTACA
GAATAAATATGCCTAAGGGTAGATCAGAAGAGCTAGGATTTGAAATGAGA
CAGTACTACAAATCAATTAAGGAGCTTGCAAGAGTTTCTCCCGTTCCAAT
AGCTGTGAGAATTAATAACAATTTATCTATAATACCTTACATTATAAATT
CAGGTGTTTCCTATATAATACTGGATATTTACAGAAATTCTGAAAGTGAA
ATTGAAAGCTTATTTAATGGAGTTAACAAGGCAATAACTACAGCGTTTCT
CTAG
</t>
  </si>
  <si>
    <t>Predicted sugar phosphate isomerase involved in capsule formation</t>
  </si>
  <si>
    <t>cren1_8best_scaffolds_00011310</t>
  </si>
  <si>
    <t>MIESISELKYIQKIKENANDINAKELESLYYDIVTSRVIVPTGEGRSKGA
LSIACSEIAKMDRGKIILDRSDIGFPGRDLYEAAPIIREKYGPLTLLVNS
GSGKALIPLIDAQKLGQYIAETENKKEFKIDVVTSDPESPLGRLGSKFGT
TMIVKGKREEERPENTTEFREYGILGDIYELSTAVIFQAIAEALNKDSPF
DRVFINLEQIFDEIFYMFKDKNVVSFLNKVSDELERRSICVFGGLGSGLE
VARMTAVRLGHIKRAMGDVVYVIRDTNLPVPRKDDVFIVVSYSGETEVVV
SWCKNFKKMGGKVISIVGNKNSTIASISDEFFHIESNYKKGEPNRFYLKA
AFLLSPLPIFLAERFAQRGFRMPEYVLRWYQSVISII</t>
  </si>
  <si>
    <t xml:space="preserve">ATGATAGAAAGTATTTCCGAACTTAAGTATATACAAAAGATAAAAGAAAA
CGCTAATGATATAAATGCTAAAGAACTTGAATCCCTTTACTACGATATAG
TAACCTCTAGGGTAATTGTTCCAACAGGAGAAGGAAGATCTAAAGGGGCA
TTAAGCATTGCTTGTAGTGAAATAGCAAAAATGGATAGAGGGAAAATAAT
TTTGGATAGAAGTGATATTGGATTTCCAGGTAGGGATCTTTATGAAGCAG
CGCCAATTATAAGGGAAAAATATGGTCCTCTGACATTACTTGTTAATTCA
GGAAGCGGAAAGGCCCTAATTCCTTTAATTGATGCACAAAAACTCGGGCA
ATATATTGCTGAAACAGAAAATAAAAAAGAATTTAAAATAGATGTTGTAA
CATCCGACCCTGAATCTCCTTTAGGCAGACTTGGATCCAAATTTGGAACA
ACAATGATTGTTAAAGGAAAAAGGGAAGAAGAAAGGCCTGAAAATACCAC
TGAATTTAGGGAATATGGAATTTTGGGAGATATTTATGAATTATCTACAG
CAGTAATATTTCAAGCAATAGCGGAAGCTTTAAATAAAGATAGTCCCTTT
GATAGAGTATTTATTAATCTTGAACAAATATTCGATGAAATTTTTTACAT
GTTTAAGGATAAAAATGTTGTCAGTTTTTTAAACAAAGTTTCAGATGAAT
TGGAGAGGCGTTCTATTTGTGTATTTGGAGGATTGGGCAGTGGACTTGAA
GTTGCTAGAATGACAGCTGTAAGACTCGGACATATAAAAAGGGCTATGGG
AGATGTAGTATATGTAATTCGTGATACAAATTTGCCTGTGCCTAGGAAAG
ATGATGTTTTCATAGTAGTTTCATACAGTGGAGAAACGGAAGTTGTTGTA
AGTTGGTGCAAAAATTTCAAAAAAATGGGCGGAAAAGTTATCTCAATAGT
AGGAAATAAGAATTCAACGATCGCTTCAATATCCGATGAATTCTTTCATA
TTGAAAGTAACTATAAAAAAGGGGAACCAAACAGGTTCTATTTAAAAGCA
GCTTTCCTCCTTAGTCCTCTTCCCATATTCTTAGCAGAAAGATTTGCACA
AAGAGGTTTCAGGATGCCAGAATATGTTCTTAGATGGTACCAATCAGTAA
TATCTATAATTTAA
</t>
  </si>
  <si>
    <t>Soderbert T. (2005) Biosynthesis of ribose-5-phosphate and erythrose-4-phosphate in archaea: a phylogenetic analysis of archaeal genomes.</t>
  </si>
  <si>
    <t>2.6.1.1</t>
  </si>
  <si>
    <t>Aspartate/tyrosine/aromatic aminotransferase</t>
  </si>
  <si>
    <t>cren1_8best_scaffolds_00006920</t>
  </si>
  <si>
    <t xml:space="preserve">MPILDSIKRSATVSLNDLINELKSKGVKVLSLAVGEPHFNTEREIIEEAY
RAMINGETHYVSSQGIIQLREAIAKKASLENLIPASASNVVIVPAKFAIY
ASLIALLDEGDEVLLPNPCWVSYESQIILARGKPVYYDLNDDFSLNFDEI
SFKLSDKTKAIIINSPHNPTGYVLTKEEMEHVVELAKDYNLYIISDEIYE
KYIYEGKHISPASLDFDRTITINGFSKAFAMTGWRLGYLIANKDIINKVV
TFVEQTLTCIPPFIQKAGVKSLELGEKIYKRYVEEYKKARDYVYERLSKI
NNIAVNKPGGAFYMFPRYLINVDSYTLAQELLLKKGVAIVPGSSFGSRGE
FHFRISYATSFEILKEAMDRIENYFDGYR
</t>
  </si>
  <si>
    <t>ATGCCAATACTCGATTCGATCAAAAGATCAGCTACAGTTAGCTTGAATGA
TTTAATAAACGAGTTAAAGAGCAAAGGAGTTAAGGTATTGTCTTTAGCTG
TTGGAGAACCTCATTTTAATACTGAAAGAGAAATAATAGAGGAAGCTTAC
CGCGCAATGATTAATGGCGAGACTCACTATGTTAGTTCACAAGGAATTAT
TCAACTAAGGGAGGCAATAGCAAAAAAAGCCAGTTTAGAAAACTTGATTC
CTGCATCAGCATCAAACGTGGTTATTGTTCCAGCAAAATTTGCAATATAC
GCTTCTTTAATTGCTTTGTTGGATGAAGGAGACGAAGTTCTTTTACCCAA
TCCCTGTTGGGTAAGTTATGAGAGTCAAATAATTCTAGCAAGGGGGAAGC
CTGTATATTACGATTTGAATGATGATTTCTCATTAAACTTTGATGAGATC
AGTTTCAAATTATCTGATAAGACGAAGGCAATTATAATTAATTCTCCTCA
TAATCCAACAGGTTATGTGTTAACTAAAGAAGAGATGGAGCATGTGGTTG
AATTGGCAAAAGACTACAATCTTTACATTATAAGCGATGAGATATATGAA
AAGTATATCTATGAAGGTAAACATATCTCACCGGCCAGTTTAGATTTTGA
TAGAACTATAACAATAAACGGTTTTTCAAAAGCTTTTGCTATGACAGGAT
GGAGGTTGGGTTATTTAATAGCCAACAAAGATATAATAAATAAGGTAGTA
ACATTTGTTGAACAGACGCTAACTTGTATACCCCCGTTTATTCAAAAAGC
GGGAGTAAAATCTTTAGAATTAGGCGAGAAAATTTATAAAAGATATGTAG
AAGAATACAAAAAAGCAAGGGATTATGTTTATGAGAGGTTATCTAAGATA
AACAATATAGCTGTAAATAAACCTGGAGGAGCTTTTTATATGTTCCCTCG
ATATCTCATAAACGTTGATTCTTATACATTAGCTCAAGAATTATTACTTA
AGAAAGGCGTAGCTATTGTACCTGGTTCTTCTTTTGGAAGTAGGGGTGAA
TTCCATTTCAGGATTTCGTATGCTACATCGTTTGAAATATTGAAAGAAGC
AATGGACAGGATTGAAAATTACTTCGATGGATATAGGTAA</t>
  </si>
  <si>
    <t>cren1_8best_scaffolds_00009980</t>
  </si>
  <si>
    <t xml:space="preserve">MMKLSKLSNLIQPSPIREMLKEVNELRRNSVDVIQLSTGQPSLPLDEEVL
NFLISKLRENPLKVSSYSPTAGIPELREKICHDLSYFGKIDVEENEVLIT
EGGSEGLLLAALTLFDKDDEVIILEPTYVSYPNVTIIAGAKPIFVSQKME
ESYQPNLEEIKSKINSKTKAIMFATPDNPTGRVLDEKIAKGLIEIAKDYQ
LYLIVDEAYKHLIYEGEHFWFWRYEDARDRVVCINTFSKDPAMTGFRLGY
AYGPKDVISVMERIKQYTTLCSNTPAQIAAIKYLEPKVKEKVLSYTLQIY
KKRRDALIDAMEEYLPYAKFVKPKGAMYLFANFLHYFGKKGIDDKFFMMD
LIKKKYVAVISGSNFGPSGANHIRITFVGENEDRIRLGIRLIKEYLNL
</t>
  </si>
  <si>
    <t xml:space="preserve">ATGATGAAACTTTCAAAACTTTCAAATTTAATTCAACCATCGCCTATAAG
GGAAATGCTTAAGGAGGTAAATGAATTAAGAAGAAATAGTGTGGACGTTA
TACAGCTTTCTACAGGACAACCTAGTTTACCTTTGGATGAAGAAGTGCTA
AATTTTTTAATAAGCAAGTTAAGAGAGAATCCTTTGAAGGTTAGTTCATA
TTCTCCAACTGCTGGAATACCAGAGCTAAGAGAAAAAATTTGTCACGATT
TATCATATTTCGGAAAAATAGATGTTGAAGAAAATGAGGTTTTAATAACT
GAAGGGGGTTCTGAAGGTCTTTTACTTGCAGCTTTAACATTATTTGATAA
AGATGATGAAGTAATAATACTTGAACCAACATACGTAAGTTACCCTAATG
TTACAATTATAGCAGGAGCTAAGCCAATATTTGTTTCGCAAAAAATGGAA
GAAAGTTATCAACCCAATTTAGAGGAAATTAAGTCAAAAATCAATTCAAA
GACGAAGGCGATAATGTTTGCTACACCGGATAATCCAACAGGTAGAGTGT
TGGATGAAAAAATTGCTAAGGGTTTGATAGAGATTGCAAAAGACTATCAA
TTATATCTAATTGTAGATGAAGCCTACAAGCACTTAATTTATGAAGGAGA
ACATTTCTGGTTCTGGAGATATGAGGATGCAAGGGATAGAGTTGTTTGCA
TTAACACTTTTTCTAAGGATCCTGCAATGACCGGTTTTAGACTAGGATAT
GCATATGGCCCAAAAGATGTAATTTCTGTTATGGAAAGAATAAAACAATA
TACCACGCTCTGCTCCAACACCCCTGCACAGATTGCTGCAATAAAATATC
TTGAACCTAAAGTTAAAGAAAAAGTATTAAGTTATACATTACAAATTTAC
AAAAAAAGAAGGGATGCCCTTATTGATGCGATGGAAGAATATCTTCCCTA
TGCGAAGTTTGTTAAGCCTAAAGGTGCTATGTATCTTTTTGCTAATTTCT
TACATTATTTTGGGAAGAAAGGAATCGATGACAAATTTTTCATGATGGAT
TTAATAAAAAAGAAATATGTCGCAGTTATAAGTGGAAGTAATTTTGGACC
TTCTGGAGCAAATCATATCAGAATCACCTTTGTAGGAGAGAATGAAGATA
GAATAAGATTAGGAATAAGATTAATAAAAGAGTATTTAAATTTATGA
</t>
  </si>
  <si>
    <t>argininosuccinate synthase</t>
  </si>
  <si>
    <t>cren1_8best_scaffolds_00010490</t>
  </si>
  <si>
    <t xml:space="preserve">MGKVVLAYSGGLDTSVAIKWLNEKYGYDVVTLTLNVGQNEDLKLIEEKAY
KIGAIKHYSIDALEEFVNEYINNAIKANALYQGKYPLSSALSRPLIAKYL
VMIAELENAEAVAHGCTGKGNDQVRFETTIKSLNPKLKIIAPVREWNLTR
NEEIEYAKNKGIPVSATKSKPYSIDQNIWGRSIEGGVLEDPYFEPPEDAF
EWTKPLSEAPDNPAIIEIGFINGIPFELNGEEMKEVELIKFLNQYGGMHG
VGRIDHMEDRVVGIKSREVYECPAATILIEAHKDLEKFVLTKHENEVKEY
LDSLWTKLAYYGLWEDPLRKDIQAFIDSTQIPRVTGKVKVKIFKGNLRVI
GRKSDYALYDVKLSTYGSESLFNQKDSEGFINIFSLQTVLAKKVEKLNAR
REEHKKV
</t>
  </si>
  <si>
    <t xml:space="preserve">ATGGGTAAAGTAGTTTTAGCATATTCAGGAGGTCTTGATACTTCAGTTGC
AATAAAATGGCTTAATGAAAAATACGGATACGATGTTGTAACTTTAACGT
TAAACGTCGGCCAAAATGAGGATTTGAAATTGATAGAAGAAAAGGCTTAC
AAAATTGGTGCTATAAAACATTATTCGATTGATGCTTTGGAAGAATTTGT
AAATGAGTACATAAACAACGCTATTAAAGCAAATGCGCTTTATCAAGGCA
AGTATCCTTTAAGTAGTGCACTTTCAAGGCCTTTAATAGCTAAATATTTA
GTCATGATAGCTGAATTGGAAAATGCTGAAGCTGTAGCACATGGTTGTAC
GGGAAAGGGTAATGACCAAGTAAGGTTTGAAACTACTATTAAATCTTTAA
ATCCTAAGCTAAAAATAATAGCACCTGTTAGAGAGTGGAATTTAACAAGG
AATGAAGAAATCGAATATGCTAAAAACAAAGGAATTCCTGTTAGTGCAAC
AAAATCAAAGCCATACAGCATTGATCAAAATATTTGGGGAAGATCAATTG
AAGGAGGAGTATTGGAAGATCCTTATTTTGAACCACCAGAAGACGCGTTT
GAATGGACAAAGCCTCTCTCTGAAGCACCTGATAATCCTGCTATTATAGA
AATAGGTTTCATCAATGGCATTCCTTTTGAATTAAACGGAGAAGAGATGA
AGGAGGTCGAACTTATCAAATTCCTAAACCAATATGGGGGGATGCATGGT
GTGGGTAGAATAGACCATATGGAAGATAGAGTTGTTGGAATAAAGTCTAG
AGAAGTATATGAATGTCCTGCAGCTACAATATTGATAGAAGCTCATAAAG
ACCTAGAAAAATTTGTCTTAACGAAACATGAAAATGAGGTAAAAGAATAT
TTAGACTCGCTTTGGACAAAGTTAGCATATTATGGTTTATGGGAAGATCC
TCTAAGAAAGGATATACAAGCATTTATAGATTCTACCCAGATTCCTAGAG
TTACAGGCAAGGTCAAGGTCAAAATCTTTAAAGGAAACTTAAGAGTGATC
GGAAGAAAAAGTGATTATGCACTATATGATGTTAAGCTCTCTACATATGG
CAGTGAATCATTATTTAATCAAAAAGATTCTGAGGGTTTCATAAACATAT
TTTCCTTACAAACTGTTTTAGCTAAAAAGGTAGAGAAATTAAATGCAAGA
AGAGAAGAACATAAGAAAGTGTGA
</t>
  </si>
  <si>
    <t>6.3.4.5</t>
  </si>
  <si>
    <t>4.3.2.1</t>
  </si>
  <si>
    <t>argininosuccinate lyase</t>
  </si>
  <si>
    <t>cren1_8best_scaffolds_00010480</t>
  </si>
  <si>
    <t xml:space="preserve">MQEEKNIRKCEFLLKEAEKDINTDKALLFYEIISSKAHVITLEKSGILSK
EEASKLVFSLNKLLNACESNKIQTEGSEDIHFFIENFLIKDLGYNLGGKL
HIGRSRNELIINDIRLYLRDWINNFSLKILSGVKKLVEVSEKNLETIFPS
YTHLQQAVPISFGYYLLAHVEFFLRVYERLREIYERVNICVLGSGAIAGL
NWSINRRFLSKLLGFKKVSSNAFDSINSRGEIEAEILFVLSLLSNHLSRI
CEDLIIYSSQEFNLVDIPEECTGISSIMPQKRNPDALELVRGKCSKIISS
MFEVFNVTKSLPSGYNKDLQVIKDTLFNSLETTEEIFEEIIKILCNLRIK
EESFLESKNSLYTVATDVADYLVMKFGLSFRQSHSLVSEAVKTSLKSGKD
YLSILQEYLTKEYGNVVLNKFRNIKKSVYRKRTYGSTNPLNVKTIIKLKK
RIILKEESKVLREAERLKTKLNYLKSFSY
</t>
  </si>
  <si>
    <t>ATGCAAGAAGAGAAGAACATAAGAAAGTGTGAATTTCTCTTAAAGGAAGC
AGAAAAAGACATTAATACAGATAAAGCTCTGTTATTTTACGAAATAATTT
CAAGCAAAGCTCATGTAATAACTTTGGAAAAGAGTGGAATATTATCTAAG
GAGGAAGCTTCCAAATTAGTATTTTCTCTTAATAAGCTTTTGAATGCGTG
CGAATCCAATAAAATTCAAACCGAAGGTTCAGAAGATATTCATTTCTTTA
TTGAAAATTTCTTGATTAAGGATTTAGGATATAATTTAGGAGGAAAGCTT
CATATTGGAAGAAGTAGAAATGAACTTATAATAAACGATATAAGGCTGTA
TTTAAGGGACTGGATAAACAATTTTTCATTAAAAATTCTTTCAGGTGTAA
AAAAACTTGTTGAGGTTTCTGAGAAAAATCTTGAAACAATTTTTCCTTCA
TATACGCATTTGCAACAGGCCGTTCCTATTTCCTTTGGTTATTACCTTTT
AGCTCATGTAGAATTTTTCTTAAGAGTTTATGAGAGGTTAAGAGAAATTT
ATGAAAGGGTAAATATTTGCGTCCTAGGTTCAGGTGCTATAGCAGGATTG
AATTGGAGTATAAATAGAAGATTTTTAAGCAAACTTTTAGGTTTCAAGAA
AGTATCTTCAAATGCTTTTGATTCAATAAATTCAAGGGGAGAGATAGAAG
CGGAAATTCTCTTTGTACTAAGTTTATTAAGCAATCATTTAAGCAGAATA
TGTGAAGATCTAATAATATACTCAAGTCAAGAATTTAACTTAGTTGATAT
TCCTGAAGAATGCACAGGAATAAGTAGCATCATGCCTCAAAAAAGGAATC
CTGATGCCTTGGAGCTAGTAAGAGGAAAGTGTTCTAAAATAATAAGCTCT
ATGTTTGAGGTATTCAATGTGACGAAATCTTTGCCTTCAGGTTATAACAA
GGATTTGCAAGTGATTAAAGATACTTTGTTTAATTCCTTGGAGACAACGG
AGGAAATATTTGAAGAAATAATAAAAATACTTTGTAATTTGAGAATAAAG
GAAGAATCTTTTTTAGAATCAAAAAATTCATTATATACCGTTGCAACCGA
TGTTGCAGATTACTTAGTAATGAAATTTGGCTTATCATTCAGACAATCTC
ATAGTTTAGTTTCAGAAGCAGTGAAAACCTCATTGAAAAGCGGTAAAGAT
TACCTTTCAATCTTACAAGAATACTTAACAAAAGAATACGGAAATGTTGT
TTTGAACAAATTTAGAAATATAAAAAAGAGCGTTTATCGGAAAAGAACAT
ATGGAAGTACCAATCCTTTAAATGTCAAGACAATAATAAAATTAAAAAAG
CGAATTATTTTAAAAGAGGAAAGCAAAGTTTTAAGAGAGGCTGAGAGATT
AAAGACTAAATTAAACTATTTAAAAAGCTTTTCTTATTAG</t>
  </si>
  <si>
    <t>6.3.4.4</t>
  </si>
  <si>
    <t>Adenylosuccinate synthase</t>
  </si>
  <si>
    <t>cren1_8best_scaffolds_00009270</t>
  </si>
  <si>
    <t>MFGDEGKGKIVSYIAVKDDVDVGVRAGVGTNAGHTVVYKNRTFKLRQVPS
SFVNERCKLYIGPGVLVDVNVFMNEVNLLSLHGRVWIDGNCAIIEEYHKE
RDKSDPHLSKVVGTTGTGNGPAMEDRVRRIAKVCRDIELLKEFIDDVSLR
VNEAIDKKEKVVIEGSQGTFLSLYHGTYPYVTSKDTTASAALSDVGVGPK
KVDEVVVVFKSYITRVGGGPLENELSIEEAKRLNLLEYGTVTGRPRRVAP
FNMKLAKRAVMLNSATQIAITKIDTLFTGASKVREYHKLPNEAKKFIEEI
ESELNVPVTLIGTGSETDDIIDLRDKKLRK</t>
  </si>
  <si>
    <t xml:space="preserve">ATGTTTGGGGACGAAGGGAAAGGTAAAATAGTTAGTTACATTGCAGTAAA
AGATGACGTTGATGTTGGAGTAAGGGCAGGTGTTGGGACAAACGCAGGTC
ATACAGTTGTGTATAAAAACAGAACTTTTAAGCTTAGACAAGTTCCTTCT
TCTTTCGTTAATGAAAGGTGCAAGCTTTACATAGGTCCAGGTGTTCTTGT
TGATGTTAATGTTTTTATGAACGAAGTCAATCTTTTATCACTTCATGGTA
GAGTTTGGATTGATGGTAATTGTGCAATAATCGAAGAATATCATAAGGAA
AGGGATAAGAGTGATCCTCATCTTTCCAAGGTTGTTGGAACAACAGGTAC
AGGGAATGGACCTGCTATGGAGGATAGAGTTAGAAGGATTGCCAAGGTAT
GTAGAGATATTGAATTATTAAAAGAATTCATAGATGATGTTTCGTTACGT
GTGAATGAAGCTATAGACAAAAAAGAAAAAGTCGTTATAGAAGGAAGTCA
GGGAACATTCTTATCTTTATATCATGGAACGTATCCGTATGTAACTTCAA
AGGATACTACTGCATCTGCTGCACTATCTGATGTAGGAGTCGGACCTAAA
AAAGTAGACGAAGTAGTCGTAGTTTTTAAATCCTATATTACTAGGGTTGG
AGGCGGACCTTTAGAGAATGAACTTAGTATTGAAGAAGCTAAAAGACTAA
ATCTTTTAGAATATGGTACAGTAACAGGCAGACCGAGAAGGGTTGCGCCT
TTTAACATGAAGTTAGCAAAAAGAGCAGTTATGCTAAATAGTGCAACGCA
AATTGCTATAACAAAAATAGACACTTTGTTTACTGGTGCAAGCAAAGTAA
GAGAATACCACAAGCTACCTAATGAAGCTAAAAAATTCATTGAGGAAATT
GAATCTGAGCTGAATGTTCCAGTAACCTTAATCGGCACAGGAAGTGAAAC
CGATGATATCATAGATCTCAGGGATAAGAAACTTAGAAAATAA
</t>
  </si>
  <si>
    <t>4.3.2.2</t>
  </si>
  <si>
    <t>adenylosuccinate lyase</t>
  </si>
  <si>
    <t>cren1_8best_scaffolds_00004760</t>
  </si>
  <si>
    <t>MSCPVYSRYSTEEMSRIFSEEAKIERWLKVEAVLAQSQAELNLIPKEASE
EISKKANLTYVSIKRIKEIEKEIDHDLLAVVKALSEVCEKNYGRFVHKGA
TSYDIEDTAWAIAFKEALGVLKGRIKELIKILLEKAERYKDLACIGRTHG
QHALPTTYGMKFAIWAYDMFRCIERIDFLEKNDLIGKMSGAVGTMAGFGK
KGIELQEIVMKKLGIKPALISNQVVQRDVFSDFIYLNALIAANLEKIAKE
IRNLQRTEIGEMLEPFKEKQAGSSTMPHKRNPHRSERICSLARYLRSLVT
VSLENIALEHERDLTNSANERIIISHSFILVDYILNEAIDILKNLVINEK
NVERNLNLLRGINLSENVMLKLVDKGMSREEAYEIIRNTAIKSYEEEKDF
IQELLKNEKVSSFIKESELKELLNPKNYLGLAEKIVERSIHEIKSQLNL</t>
  </si>
  <si>
    <t>ATGTCATGCCCAGTTTATTCAAGATATTCAACTGAAGAAATGAGCAGAAT
ATTTAGTGAGGAAGCTAAAATTGAAAGATGGTTAAAAGTTGAAGCAGTGT
TAGCTCAATCACAGGCTGAACTTAACTTAATTCCTAAGGAGGCTTCTGAG
GAAATATCAAAAAAAGCAAATTTAACGTATGTTTCAATAAAAAGAATAAA
GGAAATAGAAAAAGAAATAGATCATGATCTTCTTGCAGTAGTAAAAGCTC
TTTCTGAAGTTTGTGAAAAAAATTATGGAAGATTTGTTCATAAAGGCGCA
ACCAGCTATGATATCGAAGATACTGCATGGGCAATTGCATTTAAAGAAGC
TCTTGGAGTTCTGAAAGGAAGAATAAAGGAATTGATAAAGATACTTTTAG
AAAAAGCTGAAAGATACAAAGACTTAGCATGCATAGGAAGAACACACGGC
CAGCATGCTTTGCCTACAACATACGGAATGAAGTTTGCAATTTGGGCTTA
TGATATGTTTAGGTGCATAGAAAGGATAGATTTTCTAGAGAAAAACGATC
TGATCGGAAAAATGAGCGGTGCAGTTGGAACAATGGCAGGATTTGGAAAA
AAAGGAATTGAACTTCAAGAAATTGTTATGAAAAAACTGGGAATAAAACC
TGCATTGATTTCCAATCAAGTTGTTCAAAGGGATGTTTTTTCAGATTTCA
TCTACCTCAATGCATTAATTGCAGCAAATCTAGAAAAAATAGCTAAGGAG
ATAAGGAATTTGCAAAGAACAGAGATAGGAGAAATGCTTGAACCTTTTAA
AGAAAAACAAGCAGGTTCTTCTACTATGCCACATAAAAGAAATCCTCATA
GATCGGAGAGAATTTGTAGTTTAGCAAGATATCTTAGAAGTTTGGTTACT
GTTTCTTTGGAAAACATTGCTCTTGAACATGAAAGGGATCTTACGAATAG
CGCAAACGAGAGAATAATAATATCTCATTCTTTTATTTTGGTTGATTATA
TTCTCAATGAGGCTATTGATATTCTTAAGAATCTTGTAATAAATGAAAAA
AATGTAGAAAGGAACTTGAATTTGCTTAGGGGTATAAATCTATCGGAAAA
TGTTATGCTAAAGCTGGTTGATAAAGGAATGTCAAGAGAAGAGGCCTATG
AAATCATTAGAAACACTGCTATAAAAAGCTATGAAGAAGAAAAGGATTTT
ATTCAAGAGCTTCTTAAAAATGAAAAAGTAAGTTCTTTCATAAAAGAAAG
TGAACTAAAAGAATTACTTAATCCTAAAAATTATTTAGGATTGGCTGAAA
AAATTGTGGAAAGGTCTATTCACGAAATAAAGTCTCAGCTAAATCTATAG</t>
  </si>
  <si>
    <t>2.6.1.44</t>
  </si>
  <si>
    <t>1.5.1.12</t>
  </si>
  <si>
    <t>cren1_8best_scaffolds_00009350</t>
  </si>
  <si>
    <t>MSQKITYVTLLADEKIHPEFERALKEVEKEFGKTYPLYIGDEEVYTDETF
VKTSPIDTRIIMGHFQKANRKNIQDAIDKAKKSFEIWGELEYKERIKIFR
KVADLLEENKFKIAAHICYEVGKTRLEALAEVYEAMDAIKYYCKLYEENE
GYVKRMETVVPGEICYSVAKPYGVWFVISPFNFPLMLASGMCLGALLTGN
TVVMKPASDAPFGVLWLYKIYRQAGIPAGVINYLTGPGNVFEDEIVNNKD
IAGIAFTGSRDVGMRLYRRFTSSQPYPKPIILETGSKNPVIVTKNANIDK
AVEGTVRSAFGFSNQKCSAASRVYVQKEIANVFTEKLVERTKRLIVGDPR
KRETFTGPVVNRNAVDKFMKYINDAIKSGGKILIGGNVIEKDEYKYGYYV
EPTIITSLPRNHYLYKEELFVPILLMDTFETLDEAISLANDTEYGLTAGI
FSEDENEIKYFFKRIQFGVVYANRRGGATTGAWPGSQTFVGWKASGATGK
GVGGPYYLLQYLREQSQTIVKES</t>
  </si>
  <si>
    <t>ATGAGCCAAAAGATAACTTATGTAACACTTCTTGCTGACGAAAAAATACA
TCCTGAATTTGAAAGGGCATTAAAGGAAGTTGAAAAGGAATTTGGTAAAA
CTTATCCTTTGTATATAGGAGATGAAGAAGTTTATACCGATGAAACATTC
GTCAAAACTAGTCCTATAGATACAAGAATTATAATGGGACATTTTCAAAA
GGCTAACAGGAAAAATATACAAGATGCCATAGACAAGGCAAAGAAATCTT
TTGAAATTTGGGGTGAACTTGAATACAAAGAAAGAATAAAAATATTTAGA
AAAGTTGCAGATTTGCTTGAAGAGAACAAGTTTAAAATTGCTGCGCATAT
TTGTTATGAAGTAGGGAAAACGAGATTAGAGGCACTAGCTGAAGTATATG
AAGCAATGGATGCAATAAAATATTATTGTAAACTTTACGAAGAAAACGAA
GGATACGTAAAGAGGATGGAAACAGTTGTTCCAGGGGAAATATGCTATAG
TGTAGCTAAGCCCTATGGTGTTTGGTTTGTAATTTCTCCTTTCAATTTTC
CTCTAATGCTTGCAAGCGGAATGTGTCTAGGAGCTCTGCTTACAGGAAAT
ACTGTAGTAATGAAACCAGCTTCCGATGCACCATTTGGAGTTCTTTGGCT
TTACAAAATTTACAGACAAGCGGGAATCCCTGCAGGTGTGATAAATTATC
TTACAGGTCCTGGCAATGTATTTGAAGATGAAATAGTTAACAATAAAGAT
ATTGCAGGAATAGCTTTCACAGGTTCAAGGGATGTAGGAATGAGATTATA
TAGAAGGTTTACAAGCTCTCAACCCTATCCTAAACCAATAATCTTGGAAA
CTGGAAGCAAAAATCCAGTAATAGTAACTAAAAATGCAAATATTGATAAA
GCTGTTGAGGGGACTGTTAGATCAGCCTTTGGTTTTTCAAATCAAAAATG
CAGTGCAGCTTCAAGAGTTTACGTTCAAAAGGAAATAGCCAATGTTTTTA
CCGAAAAATTAGTAGAAAGAACTAAAAGATTAATTGTAGGTGATCCAAGA
AAAAGAGAGACCTTCACTGGACCCGTTGTTAATAGAAACGCAGTTGATAA
GTTCATGAAATATATTAATGATGCGATAAAGAGTGGAGGAAAAATCTTAA
TTGGAGGAAATGTTATAGAAAAAGATGAATATAAGTATGGTTATTATGTT
GAACCTACAATCATCACCTCTCTTCCAAGAAATCATTATCTTTACAAAGA
GGAATTATTTGTTCCAATCTTGTTAATGGATACTTTTGAAACTCTTGATG
AAGCTATAAGTTTAGCAAACGACACAGAATATGGCTTAACTGCAGGAATA
TTCTCCGAAGATGAGAATGAAATAAAGTACTTCTTCAAAAGGATACAGTT
CGGTGTGGTATATGCTAATAGAAGAGGAGGAGCGACAACTGGTGCATGGC
CTGGTTCTCAAACATTCGTTGGCTGGAAGGCCAGCGGCGCAACGGGCAAG
GGTGTGGGTGGTCCTTACTATTTGTTGCAGTATTTAAGAGAACAATCTCA
GACAATTGTAAAAGAAAGTTAA</t>
  </si>
  <si>
    <t>spontaneous</t>
  </si>
  <si>
    <t>1.5.1.2</t>
  </si>
  <si>
    <t>Pyrroline-5-carboxylate reductase</t>
  </si>
  <si>
    <t>cren1_8best_scaffolds_00001180</t>
  </si>
  <si>
    <t xml:space="preserve">LKVNFTFDNYRVIEQADLIIIALKPYTILENIELLKRISSEKIVVSVVAF
IPLSFYKKNVNTKEVYRAMPNVNVEVNKGFIALHGEKNANSSLIENLFGL
LGEIEWVSEEVLDKLTLICASSPALITEIMDALEIAAMYIGIPQNIARKA
IINILRGTAELATNKELQSIRNSIITPKGITSKLMREFIRLNVKSSVLET
FIQASEDLEQIIMKLKIDHKID
</t>
  </si>
  <si>
    <t>TTGAAAGTTAATTTTACTTTCGATAATTATCGTGTAATTGAACAGGCTGA
TTTGATAATAATAGCTTTGAAGCCATATACGATATTAGAAAACATTGAAC
TACTTAAAAGAATATCAAGTGAAAAGATTGTAGTTTCGGTCGTAGCATTC
ATACCTCTAAGCTTTTATAAAAAGAATGTAAATACAAAAGAAGTTTACAG
AGCTATGCCAAATGTTAATGTTGAAGTTAATAAAGGATTCATAGCACTTC
ATGGTGAAAAGAACGCAAATTCAAGTTTGATCGAAAATCTATTCGGCTTG
CTTGGAGAAATTGAATGGGTGAGCGAAGAAGTTTTGGATAAACTAACACT
GATATGTGCTTCCTCACCTGCATTAATTACCGAAATAATGGATGCTTTAG
AAATTGCTGCAATGTATATTGGAATACCTCAAAATATAGCAAGAAAAGCT
ATAATTAACATATTAAGAGGCACAGCTGAATTGGCAACTAATAAAGAATT
ACAAAGTATCAGGAACTCAATCATAACTCCAAAAGGAATAACTTCTAAGC
TAATGAGAGAATTTATCAGATTGAATGTAAAATCTTCAGTACTGGAAACT
TTTATCCAAGCTTCTGAAGATCTTGAGCAAATTATAATGAAACTAAAGAT
TGATCATAAGATAGATTAA</t>
  </si>
  <si>
    <t>Predicted ornithine cyclodeaminase, mu-crystallin homolog</t>
  </si>
  <si>
    <t xml:space="preserve">MLILSSKDIESIFDFKKAIEALKDAFVNYSKGEAMNPFRSTLKIDDENQF
LFMPSYMKGIEKMSIKIVSYFSKNLRIGLPLIFGSVLLFDGKNGRLEALL
EGTIITKLRTASVSALATEYLARKDSEILGIFGSGAQAESHALAITNVRE
IKRIKVYSRNEKRAKKFCEFIEKSLSIKTEYASPNEVASCDIIVTATTSP
VPVFDGKLLRKGAHINAIGSFRPETREIDDDAIIRCNKIVVESREAALFE
AGDLIIPIKKGLLNENSIIEIGEILTGKKKGRENADEITLFKSVGLAIED
LAIANYLYNEAIRKNIGKNVDIFYYEKFG
</t>
  </si>
  <si>
    <t xml:space="preserve">ATGTTAATTTTGAGTAGTAAAGATATAGAAAGTATTTTCGATTTCAAAAA
AGCAATTGAAGCTTTAAAAGATGCTTTTGTAAACTATTCAAAAGGAGAAG
CAATGAACCCTTTTAGAAGCACGCTTAAAATAGATGATGAAAATCAATTT
CTTTTTATGCCTTCTTACATGAAAGGAATTGAAAAGATGTCGATTAAAAT
CGTTTCATATTTTTCAAAAAATTTAAGGATTGGATTGCCTCTAATATTCG
GCAGCGTTTTGCTCTTTGATGGTAAAAATGGGAGATTAGAAGCTTTGTTG
GAAGGGACTATTATTACAAAATTAAGAACGGCTTCCGTATCAGCCTTGGC
AACGGAATATTTAGCAAGAAAAGATTCAGAAATTTTAGGTATATTTGGAA
GCGGAGCACAAGCTGAATCGCATGCATTAGCAATAACTAATGTTAGAGAA
ATTAAAAGAATTAAAGTTTATTCAAGAAATGAAAAAAGAGCAAAGAAATT
TTGCGAATTCATTGAAAAATCCCTATCGATTAAGACGGAATATGCTTCGC
CAAACGAGGTTGCGAGTTGCGATATAATTGTAACAGCAACAACATCTCCT
GTTCCAGTATTCGATGGTAAACTTTTAAGAAAAGGAGCTCATATCAATGC
AATAGGTTCATTTAGACCTGAAACAAGGGAGATCGATGATGATGCCATTA
TAAGGTGCAATAAAATCGTGGTTGAGTCAAGAGAGGCTGCTCTTTTTGAG
GCTGGAGATTTAATTATCCCGATTAAAAAAGGATTATTAAATGAAAATTC
AATTATCGAAATTGGAGAGATTTTAACAGGTAAGAAAAAGGGGAGAGAAA
ATGCGGATGAAATAACATTGTTCAAATCTGTTGGACTGGCCATAGAAGAT
TTAGCTATCGCAAATTACTTGTATAACGAGGCCATTCGAAAGAATATAGG
AAAAAATGTAGATATTTTTTACTATGAGAAATTTGGATAA
</t>
  </si>
  <si>
    <t>cren1_8best_scaffolds_00016630</t>
  </si>
  <si>
    <t>Carbamate kinase</t>
  </si>
  <si>
    <t>VPVVTRSGKIEGTDAVIDKDLTSSLLAVETNSDILLIATNVEKVKLNFMK
ENEIDLDSLSLDEAKKYLEEGHFLEGSIKPKIVSCVEFLEKGGKKAIITS
TNKIMEAIKGKAGTVIYS</t>
  </si>
  <si>
    <t>GTGCCCGTTGTTACAAGAAGTGGAAAAATCGAAGGTACTGATGCTGTTAT
TGACAAAGATCTAACAAGTTCACTATTAGCTGTTGAAACAAATAGCGATA
TTCTACTTATTGCTACGAATGTTGAGAAAGTTAAGCTAAACTTTATGAAG
GAGAATGAAATAGATTTGGATTCTTTGAGTTTAGACGAAGCAAAGAAATA
CCTGGAAGAGGGTCATTTCTTAGAGGGCAGCATTAAACCTAAAATAGTCT
CATGCGTTGAATTTTTAGAAAAAGGTGGAAAGAAAGCTATCATAACTTCG
ACAAATAAGATAATGGAAGCTATCAAAGGCAAAGCAGGCACTGTAATATA
TTCTTAG</t>
  </si>
  <si>
    <t>2.7.2.2</t>
  </si>
  <si>
    <t>2.1.3.3</t>
  </si>
  <si>
    <t>ornithine carbamoyltransferase</t>
  </si>
  <si>
    <t>cren1_8best_scaffolds_00007820</t>
  </si>
  <si>
    <t>MDHFMEIIKGLRGRDLLSITDLSRQEILALIDLTEMLKKLAKIGVKETKY
LTGKKIVMIFQKHSTRTRSSFSVALQELGSYAYYFGWNELQLARGETIKD
TALMLNRYFDGAILRVYKHSDLEEFAKFFDGPVINALSDLEHPCQIIADF
YTIREKIGNLNKVKIAYLGDGGNNVANSLILGSAIIGINIFIASPKKYQP
LPVILQKAERFAEKSGSIIKVTENIKEAISDADIIYTDTFVSMGMENERE
IRLKELRDYQVNEKIFEMNPNAYFMHCAPWHVGEEVTESVVYGKNSIVFD
QAENRLHSSKSILITLF</t>
  </si>
  <si>
    <t>ATGGATCATTTTATGGAAATAATAAAGGGACTCAGGGGAAGAGATTTGCT
TTCTATCACTGATCTATCTAGGCAAGAAATACTGGCTTTAATAGATTTAA
CAGAAATGCTTAAAAAATTGGCAAAAATAGGTGTAAAAGAGACAAAGTAT
TTGACCGGTAAAAAAATTGTAATGATATTTCAAAAACACTCTACGAGAAC
TAGATCCTCTTTTTCTGTTGCATTACAAGAACTAGGCTCATATGCGTACT
ACTTTGGATGGAATGAACTACAGCTAGCAAGAGGAGAGACAATAAAAGAT
ACTGCCTTGATGCTCAATAGATACTTTGATGGTGCTATATTGAGGGTGTA
TAAACATTCTGATCTTGAAGAGTTTGCAAAATTTTTTGATGGACCTGTAA
TTAATGCATTAAGCGACTTGGAGCACCCTTGTCAAATTATTGCAGATTTC
TATACTATTCGTGAAAAGATAGGAAATTTGAATAAAGTTAAAATTGCTTA
CTTGGGCGATGGAGGTAATAATGTTGCAAATAGCTTAATTTTAGGTTCTG
CTATAATAGGAATAAACATTTTTATAGCTTCCCCAAAAAAATATCAACCG
TTACCAGTGATTCTACAGAAAGCAGAAAGATTCGCTGAAAAATCGGGTTC
TATAATAAAGGTAACAGAAAACATTAAAGAGGCAATATCCGACGCTGACA
TAATATATACTGATACTTTTGTCTCAATGGGCATGGAAAATGAGAGAGAA
ATTAGATTAAAAGAATTAAGAGATTACCAAGTTAATGAGAAAATATTCGA
AATGAATCCAAATGCTTACTTTATGCATTGTGCTCCATGGCATGTGGGAG
AGGAAGTAACAGAAAGCGTGGTCTATGGAAAAAATTCTATAGTTTTTGAC
CAAGCAGAAAATAGATTACATTCAAGCAAATCTATTTTGATAACCCTATT
TTGA</t>
  </si>
  <si>
    <t>2.3.1.30</t>
  </si>
  <si>
    <t>Cysteine synthase</t>
  </si>
  <si>
    <t>cren1_8best_scaffolds_00002040</t>
  </si>
  <si>
    <t>LEEYYYNFLKVNNWFSNLEKINSGKLNKENLKVGNTPLIKLENIKTSNLE
LYAKLEWLNLFGSIKDRAAYWMIKIAEEKGLLNKNKTIIEPTSGNMGIAL
ACISRSLGYKFTAVVPQAISEETKNLIRYLGAELLETSDDLCPRVGKGTD
QSIALAKGIVNSFPNEYYMPNQYENEANFLAHYEGTGPEIWAQTKGNLDY
FITGIGTGGTVTGVGTFLKQRSNVKIIAVQPQQNHHIQGLRNLQESDKPL
ILAKRFDVIDSLITISDEEAFKAVRMLAENEKLLVGPSSGAVLAAALKMD
ELGFKGKAVLIFADDALKYYSVYKQFNVLKDEELDKLKGLVSAQNFSI</t>
  </si>
  <si>
    <t>TTGGAAGAGTATTATTATAATTTCTTAAAGGTAAATAATTGGTTTTCCAA
TTTAGAAAAGATTAATTCAGGAAAACTAAATAAAGAAAACTTAAAAGTAG
GAAACACTCCCCTTATAAAGCTTGAAAACATAAAGACTTCTAACTTAGAG
CTATATGCTAAGCTTGAATGGTTAAATCTTTTTGGTTCAATAAAAGACAG
AGCTGCTTATTGGATGATAAAGATAGCTGAAGAAAAAGGTTTGCTGAATA
AAAATAAAACGATAATAGAGCCTACATCAGGAAACATGGGTATCGCTCTT
GCATGCATAAGCAGAAGCCTAGGTTATAAATTTACAGCGGTTGTTCCTCA
AGCTATAAGTGAAGAAACCAAGAATTTAATAAGGTATCTAGGTGCTGAAC
TTTTAGAGACAAGTGATGATCTTTGTCCAAGAGTTGGGAAAGGTACAGAT
CAAAGTATTGCATTAGCTAAAGGAATCGTTAATTCATTTCCAAATGAATA
TTACATGCCAAACCAATATGAAAACGAAGCCAATTTTCTAGCACATTACG
AAGGTACTGGTCCCGAAATATGGGCTCAAACTAAAGGCAATTTGGACTAT
TTCATTACAGGAATAGGAACAGGAGGAACAGTTACAGGCGTTGGTACTTT
CCTGAAACAAAGATCTAACGTAAAAATAATTGCTGTTCAACCTCAACAAA
ATCATCATATACAAGGATTAAGGAATCTTCAAGAATCTGATAAACCATTG
ATTCTAGCAAAGAGATTTGATGTAATAGATTCGTTAATAACTATAAGTGA
TGAAGAAGCCTTTAAAGCGGTAAGAATGCTTGCAGAAAATGAAAAATTGC
TAGTTGGGCCTTCTTCAGGTGCTGTTCTCGCAGCTGCATTAAAAATGGAT
GAACTAGGTTTCAAAGGGAAAGCTGTGCTAATTTTCGCTGATGACGCATT
AAAATACTATTCTGTTTACAAGCAGTTCAATGTTTTAAAAGATGAAGAGC
TTGATAAACTAAAAGGGTTAGTTTCTGCTCAGAATTTTAGTATTTAA</t>
  </si>
  <si>
    <t>aspartate kinase</t>
  </si>
  <si>
    <t>2.7.2.4</t>
  </si>
  <si>
    <t>cren1_8best_scaffolds_00006120</t>
  </si>
  <si>
    <t xml:space="preserve">MIVLKFGGTSVGNAKMIKVVGEIIKSAIEREPKVVVSAMEGVTDYLKYLA
SLAFYSENYNEVKLSLEKLKEKHSTTMKELSIEEELLDNDFNELEYVLKG
IFYLKELNPKIFDKVMSFGEVFSSKIIAQHLRNIGIKANAYMAYDVGFIT
DSNFGNAEVLEETETNIRNAFKNIHDEVPIVTGYIAKNKKNEITTLGRGG
SDYTATILASALNAEEVQIWTDVDGIMTADPKIVKNPKSLEVVSYQEASE
LAFLGAKVLHPKTILPVMKKKIPVVILNTFNRNFKGTRIVHETDQQRGPK
SIACKSEIKLINVYNPNMFLTYGYLSKLFKIFEDHRISVDLVSTSEVNVS
LTVDKSYNIEETIEELKKIGYLDLKEKMSSISLVGEGIAGIPGITAKVFS
ALGNRFNIEMISAGASKVSLSFVVNQENLIEAVNLLHDEFFGE
</t>
  </si>
  <si>
    <t xml:space="preserve">ATGATCGTACTAAAATTCGGGGGAACTTCGGTAGGAAATGCGAAGATGAT
AAAAGTTGTAGGGGAAATAATAAAATCTGCAATAGAAAGAGAGCCAAAAG
TGGTGGTTTCAGCAATGGAAGGCGTAACAGATTATCTAAAGTATTTAGCA
AGTTTGGCTTTTTATTCGGAAAATTACAACGAAGTAAAATTAAGCTTGGA
AAAGCTTAAGGAAAAACATTCAACAACGATGAAAGAACTAAGCATTGAAG
AAGAGCTCTTAGATAATGATTTCAATGAATTGGAATACGTTTTAAAGGGA
ATATTTTACTTAAAGGAACTTAACCCAAAAATTTTTGATAAAGTAATGTC
GTTTGGAGAAGTTTTTTCAAGTAAAATAATAGCTCAGCATTTAAGAAATA
TTGGAATAAAAGCTAATGCGTACATGGCTTATGATGTAGGTTTCATAACA
GATTCCAATTTCGGCAATGCAGAGGTTTTAGAGGAAACAGAAACAAACAT
AAGAAATGCATTTAAAAACATACATGATGAAGTACCTATTGTAACTGGAT
ACATTGCGAAAAACAAAAAGAATGAAATAACTACGTTAGGTAGAGGAGGA
AGCGATTATACTGCTACTATTCTTGCTTCAGCTTTAAATGCAGAAGAAGT
CCAAATATGGACAGATGTGGATGGAATTATGACGGCTGACCCAAAAATAG
TCAAAAATCCTAAAAGCTTAGAAGTGGTATCATATCAAGAAGCTTCAGAA
CTTGCATTTTTAGGAGCTAAAGTTTTACATCCTAAAACTATACTGCCTGT
TATGAAAAAGAAAATACCTGTGGTAATTTTAAATACTTTCAACAGAAACT
TTAAAGGAACAAGAATAGTACATGAAACCGATCAACAAAGAGGGCCAAAG
TCTATAGCTTGCAAAAGTGAAATAAAGTTAATTAATGTATACAACCCAAA
TATGTTTCTTACCTACGGATATCTTTCTAAACTCTTTAAAATATTTGAAG
ATCACAGGATATCAGTAGATTTAGTATCAACCTCTGAAGTAAACGTTTCA
TTAACTGTAGATAAATCCTATAATATTGAAGAAACAATTGAAGAACTGAA
AAAAATTGGTTATTTAGATTTGAAAGAAAAAATGTCAAGTATATCTTTGG
TAGGAGAAGGAATAGCAGGAATACCAGGAATAACCGCAAAGGTATTTTCA
GCATTAGGAAATAGATTCAATATAGAAATGATATCTGCAGGAGCATCTAA
AGTAAGTTTAAGCTTTGTTGTGAACCAAGAAAACCTAATCGAAGCTGTAA
ATTTATTACATGATGAATTTTTTGGTGAATAA
</t>
  </si>
  <si>
    <t>1.2.1.11</t>
  </si>
  <si>
    <t>aspartate-semialdehyde dehydrogenase (non-peptidoglycan organisms)</t>
  </si>
  <si>
    <t>cren1_8best_scaffolds_00006130</t>
  </si>
  <si>
    <t>MGKIKAGILGATGLVGQTFIYLLKDHPWFEITEVAASEKSSHKTYYEAVL
GRWRFSSDIPDNVKNLEVKECKPKLDCDIVFSALDASIAREIEEDFAKNG
YGVLSNASSHRMDEDVPLVIPEINPEHLELLDVQKRNRKWDGFIVTNANC
TTTHLVLTLKPIHDEFGLEKVFVTSMQALSGAGYPGVASLDIIDNVIPFI
RNEEQKVETETLKILGKFKNNKIEMANIAISAHCNRVNVRDGHTECVSVK
LSSNVTIDDLINAFERFNPLKEYKLPMAPSKPIVIKKEEDRPQPRLDREI
EKGMASVIGRIRKCNVLDYKYVVLGHNLIRGAAGAAILNAEYMYYKGYFR
EYL</t>
  </si>
  <si>
    <t xml:space="preserve">ATGGGAAAAATTAAAGCAGGTATTCTTGGGGCAACAGGACTGGTTGGCCA
AACATTTATATACTTGCTTAAAGATCATCCATGGTTTGAAATTACTGAAG
TGGCAGCCTCTGAGAAGTCATCCCATAAAACCTATTATGAAGCAGTACTA
GGAAGATGGCGGTTCAGTTCAGATATACCTGATAATGTAAAAAATCTTGA
AGTCAAGGAATGCAAACCTAAATTAGACTGCGATATAGTTTTTTCCGCAT
TGGATGCTTCAATAGCGAGAGAAATAGAGGAAGATTTTGCAAAGAATGGC
TATGGAGTATTAAGCAATGCAAGTAGCCATAGAATGGATGAAGATGTGCC
ATTAGTTATACCAGAAATAAATCCTGAACATTTAGAACTATTAGATGTAC
AAAAAAGAAATAGAAAATGGGATGGATTCATTGTAACTAACGCAAATTGT
ACAACTACACACCTAGTTTTAACACTTAAACCTATTCATGATGAATTCGG
TCTGGAGAAAGTTTTTGTTACTTCAATGCAAGCGTTAAGCGGTGCTGGAT
ATCCAGGCGTCGCATCATTAGATATAATAGATAATGTAATTCCTTTTATC
AGAAATGAAGAACAAAAAGTTGAAACGGAAACATTAAAGATACTTGGTAA
GTTTAAAAACAACAAAATCGAGATGGCAAATATCGCTATAAGTGCACATT
GTAACAGGGTTAATGTAAGAGATGGGCACACAGAATGTGTTAGTGTAAAG
CTGTCTAGTAACGTAACTATTGATGATCTCATAAATGCCTTTGAACGATT
CAATCCTCTAAAAGAATACAAACTTCCAATGGCCCCAAGTAAACCAATAG
TTATAAAAAAAGAAGAAGATAGACCACAACCAAGATTGGATAGAGAAATA
GAAAAAGGTATGGCTTCAGTTATAGGTAGAATTAGAAAATGTAACGTATT
GGATTACAAATACGTTGTGCTAGGACATAATCTGATCAGAGGAGCAGCTG
GAGCAGCAATATTGAATGCCGAATATATGTATTATAAAGGGTATTTCAGA
GAGTACCTATAA
</t>
  </si>
  <si>
    <t>1.1.1.3</t>
  </si>
  <si>
    <t>Homoserine dehydrogenase</t>
  </si>
  <si>
    <t>cren1_8best_scaffolds_00015220</t>
  </si>
  <si>
    <t xml:space="preserve">MLKNQNLNNIYFKSLSRADSPVNLKACIVGFGNVGKSFAKILIDKRDELE
SIGIKLDVICIATKSSKVYNENGIDISKAIHSLKGVGKEFDDLFSVLREK
EFDYLFDFSTSNYIDGEPGYSIIKEALNNGINVITTNKAPLALHFKELVN
LAKSKKVKFRYQATVMSGTPSINLKEVLPLCKVTRIRGILNGTTNFILSK
MEEGLSFDEALNQAKFLGYVEKDPGIDISGLDAAAKLTILMNTYFESEIT
IDKIKIKGIDGITSERIIEAKKKNRKIKLIADSSDLSVSPVEVDEKDVLY
FVNGVDNCLELKTDFGKVSIIGKGAGPVSAAYGAFSDFIIAQREIY
</t>
  </si>
  <si>
    <t xml:space="preserve">ATGCTTAAAAATCAAAATTTAAATAACATTTATTTTAAGTCTTTGTCGAG
AGCTGATTCTCCTGTTAATTTAAAGGCTTGTATTGTAGGGTTTGGAAACG
TCGGAAAATCTTTTGCCAAAATATTGATTGATAAAAGAGATGAGCTAGAA
AGTATTGGAATTAAATTAGATGTAATTTGTATAGCGACTAAAAGTTCAAA
GGTTTATAATGAAAATGGAATCGATATTTCAAAGGCAATTCATTCTTTGA
AAGGTGTAGGAAAAGAGTTCGATGATCTGTTTAGTGTTTTAAGGGAGAAA
GAATTCGACTATTTGTTTGACTTTTCTACCTCTAACTATATCGATGGAGA
ACCTGGATATTCAATAATAAAAGAAGCTTTGAACAACGGGATAAATGTAA
TAACAACAAATAAGGCTCCACTTGCACTTCATTTCAAAGAATTGGTCAAT
TTGGCTAAAAGCAAAAAGGTAAAGTTTAGGTATCAGGCTACTGTTATGAG
TGGAACTCCTTCAATAAATTTGAAGGAAGTTCTTCCATTATGCAAAGTTA
CAAGAATAAGAGGAATTCTAAATGGAACAACAAACTTCATTCTGAGCAAA
ATGGAAGAAGGTCTTAGTTTTGATGAAGCATTAAATCAAGCCAAATTTTT
AGGATATGTAGAAAAGGATCCCGGTATTGACATAAGCGGGTTAGATGCGG
CCGCGAAATTAACAATCCTTATGAATACATATTTTGAAAGCGAAATTACA
ATCGATAAAATAAAAATAAAGGGAATAGATGGTATAACCAGTGAAAGAAT
CATAGAAGCGAAAAAGAAAAATAGGAAAATTAAGTTGATTGCTGATTCTT
CAGATCTCAGTGTTTCGCCGGTTGAAGTTGATGAAAAGGATGTTCTTTAT
TTTGTCAATGGAGTAGATAATTGTTTAGAATTGAAGACAGATTTTGGAAA
AGTTTCTATTATTGGCAAAGGGGCGGGCCCTGTAAGTGCTGCATATGGTG
CATTTTCTGATTTCATAATTGCACAGAGGGAAATTTATTGA
</t>
  </si>
  <si>
    <t>homoserine kinase</t>
  </si>
  <si>
    <t>cren1_8best_scaffolds_00001370</t>
  </si>
  <si>
    <t>MKRLRIITPASSANLGPGFDVFAIALEEPFDVVEVEYQESERVKIELQLE
GKYPVPRTLSENMLTALLLNIMDEYDLKGNLKIRLQKNIPVGMGLESSGA
SSVASVLIACNIFDLKLSQKEIIHLAGEGEKMIAGSPHYDNVTASLLGGF
VIVPSKDSEPIRLDLDNNLRLFIAMPKIDLPLKKTEFARKILPQSVSLKQ
MCENISKASRIIYAFISKDYSQLKSAINDEVIEIHRTKFIPAYEEVRNAA
YENGALVVCLSGAGPSILTITSEKAKPELVLEAMLDTFNKAGIKAEGFIT
SVRNGSKVELLA</t>
  </si>
  <si>
    <t>ATGAAAAGACTAAGAATAATTACTCCTGCTTCAAGTGCTAATCTAGGTCC
TGGTTTCGATGTATTTGCAATCGCTTTAGAAGAACCTTTCGATGTAGTTG
AAGTTGAATACCAAGAGTCTGAGAGAGTGAAGATAGAACTTCAATTAGAA
GGTAAATATCCTGTTCCAAGAACATTAAGCGAAAATATGTTGACTGCTTT
ATTGTTAAATATCATGGATGAATACGATTTGAAAGGAAATCTCAAAATAA
GATTGCAGAAAAACATACCTGTAGGAATGGGGCTTGAAAGTAGCGGAGCT
TCGTCTGTTGCTTCAGTCTTGATAGCATGTAATATATTTGATTTAAAACT
AAGCCAAAAGGAAATTATCCATTTAGCTGGAGAAGGAGAAAAAATGATAG
CAGGCTCGCCGCATTATGATAACGTTACTGCATCGTTATTAGGAGGATTT
GTAATCGTACCGAGTAAAGATTCAGAACCTATTAGATTAGATCTAGATAA
TAATTTGAGACTATTTATAGCTATGCCTAAGATTGATTTACCTCTTAAGA
AAACAGAATTTGCTAGGAAAATATTACCTCAAAGTGTTTCTTTAAAACAA
ATGTGCGAAAATATTTCTAAAGCAAGTAGGATCATTTACGCCTTTATTTC
AAAAGATTATTCACAATTAAAGAGTGCAATAAATGATGAAGTGATAGAAA
TCCATAGAACTAAGTTCATTCCTGCTTATGAAGAAGTAAGAAATGCTGCA
TATGAAAATGGTGCCTTAGTAGTTTGTCTTAGCGGAGCTGGCCCTTCTAT
TCTTACAATTACGTCCGAGAAAGCTAAACCTGAGCTGGTTTTGGAAGCTA
TGCTTGATACTTTCAATAAAGCGGGTATAAAAGCTGAAGGTTTTATAACA
AGTGTAAGAAATGGATCGAAAGTAGAGCTTTTGGCTTAG</t>
  </si>
  <si>
    <t>cren1_8best_scaffolds_00013850</t>
  </si>
  <si>
    <t>MVNIRVTTSGSSANLGPGFDVFAIALEEPFDVVEVEYEESKNIEIELKVG
GKYKVPSKIEENVLTALLLQIMEKKKQTGKISISLNKNVPVGMGLGSSAA
SCVAAVLIANEIFNLKMSKKDLIYLAGEGERIVAGSVHYDNVTASLLGGF
VIIPMNSLDPIRIDLKSNLNLCIVMPKLNLPIKKTEFARKILPQNISLKQ
MSENIAKASRVVYSFLTDDFSQLKEAMKDYVVEIHRSKFIPAFEDVRNAA
YENGALGVCISGAGPSIVAFVDKESIDPNYVLKSMLEAFEKNGVEAEGFI
TKVGKGAKIEYLD</t>
  </si>
  <si>
    <t>ATGGTGAATATAAGGGTAACAACTTCTGGATCAAGCGCAAACCTGGGTCC
AGGATTCGATGTATTTGCCATTGCATTAGAAGAACCGTTTGATGTAGTAG
AAGTTGAGTATGAAGAATCCAAAAATATTGAGATAGAATTGAAGGTTGGA
GGAAAATATAAGGTTCCATCGAAAATTGAAGAAAATGTTTTAACTGCTTT
GCTTCTGCAAATTATGGAAAAGAAGAAACAAACAGGAAAAATTAGCATAT
CATTGAATAAGAATGTTCCAGTGGGAATGGGATTAGGAAGTAGCGCTGCG
TCATGTGTAGCTGCTGTTCTCATAGCAAATGAAATTTTTAACTTAAAAAT
GAGCAAAAAAGACTTAATATACTTGGCTGGAGAAGGTGAGAGAATTGTTG
CAGGATCTGTCCATTATGATAATGTTACAGCTTCATTGTTAGGAGGGTTT
GTAATAATACCTATGAATTCTTTAGACCCTATAAGAATAGATTTGAAATC
TAATTTAAATCTATGCATAGTTATGCCAAAGTTGAATTTGCCTATAAAGA
AAACTGAATTCGCAAGAAAAATACTTCCTCAGAACATAAGTTTAAAGCAA
ATGTCCGAAAACATTGCTAAAGCAAGTAGGGTTGTTTATTCCTTCCTGAC
CGATGATTTCTCGCAATTGAAAGAAGCTATGAAAGATTATGTTGTAGAAA
TTCATAGAAGTAAATTCATTCCTGCATTTGAAGATGTAAGGAATGCAGCT
TATGAGAATGGCGCATTGGGAGTATGTATTAGCGGTGCAGGTCCTTCAAT
TGTTGCTTTCGTTGATAAAGAAAGCATAGATCCAAATTACGTTTTAAAAT
CAATGCTCGAAGCTTTTGAGAAAAACGGTGTAGAAGCTGAAGGGTTTATA
ACAAAAGTTGGTAAGGGAGCTAAGATAGAATATTTAGATTAA</t>
  </si>
  <si>
    <t>threonine synthase</t>
  </si>
  <si>
    <t>MGGSSLTSKKTSRFIQEHVVGLKCRDCGKEFEIAPLYVCDECFGALDIIY
DFEKISFSKSDLKSRENTLWRYKEFLPFEAPEYVSEIKAGFTPLIRAKLL
AKKLGLKELYIKNDCVNPTYSFKDRPAALGVTAALSFGMKSVGCASTGNL
ASATAAYAARVGLPCYIIIPNGIEVSKISQAQSYGAKIVAVEGTYDDANR
LATQAAELFNIGMVNINLRPYYVEGSKTLALEVAEQLNWEAPDVFIVPTA
SGAMFNAICRGFEQLLELGLINHLPKKPVVAQALGCNPISKAFKEGRDYI
EVIENPNTIAHSLAIGNPGDGVYVLRRLKQGGLAEDVSDQEIIEGIKLLA
QNEGIYAEPAGGVAIAVLKKLVEEGKIQEDERVVCYVTGSGLKTPETLKG
KVEEPILIKPQVKYLESILTWQK</t>
  </si>
  <si>
    <t xml:space="preserve">ATGGGGGGATCAAGCTTAACAAGCAAGAAAACTTCAAGATTTATTCAAGA
GCACGTTGTAGGCCTAAAATGTAGAGATTGTGGAAAAGAATTCGAAATTG
CACCTTTATATGTCTGTGATGAATGCTTTGGAGCTTTAGATATTATTTAT
GATTTTGAAAAAATAAGTTTTTCAAAAAGTGATCTTAAATCAAGAGAAAA
TACCTTGTGGAGATACAAAGAATTTCTTCCATTCGAAGCTCCTGAGTATG
TTAGTGAAATTAAAGCAGGATTCACTCCTTTGATTAGGGCAAAACTTTTG
GCTAAAAAGCTTGGATTGAAGGAACTTTATATAAAGAATGATTGTGTAAA
CCCAACATATTCCTTTAAAGATAGACCTGCTGCACTTGGAGTAACCGCAG
CATTAAGCTTTGGAATGAAATCGGTTGGATGCGCGTCTACAGGAAACTTA
GCTAGCGCAACAGCTGCATATGCAGCAAGGGTGGGATTGCCTTGTTATAT
AATAATTCCTAATGGAATTGAAGTTTCAAAAATTTCACAAGCTCAATCTT
ATGGTGCTAAAATAGTAGCTGTTGAAGGGACGTATGATGATGCAAACAGA
TTGGCTACGCAAGCCGCAGAATTGTTCAACATAGGTATGGTAAATATAAA
TTTAAGGCCTTATTATGTAGAAGGCTCAAAAACTCTTGCTTTGGAAGTTG
CTGAACAATTGAACTGGGAAGCACCTGATGTATTCATAGTACCTACAGCT
AGCGGTGCAATGTTCAATGCAATATGCAGAGGTTTTGAACAGCTTCTTGA
ACTTGGACTTATAAATCATTTACCCAAAAAACCTGTTGTTGCACAAGCTT
TAGGCTGTAATCCTATTTCTAAAGCTTTTAAAGAAGGGAGAGATTACATA
GAAGTTATCGAAAATCCAAATACTATTGCACATAGTCTTGCGATAGGTAA
TCCCGGAGATGGTGTTTATGTTCTCAGAAGGTTAAAACAAGGAGGATTAG
CTGAAGATGTTAGTGATCAAGAAATAATTGAAGGAATCAAACTGCTTGCA
CAGAATGAAGGCATATATGCAGAGCCTGCAGGAGGAGTAGCTATTGCAGT
TTTGAAGAAACTTGTAGAGGAAGGGAAAATTCAAGAGGATGAAAGGGTTG
TTTGCTACGTTACAGGAAGTGGATTAAAAACTCCAGAAACTTTAAAAGGA
AAAGTTGAGGAACCTATCTTAATTAAGCCTCAAGTAAAGTATCTTGAAAG
TATATTGACATGGCAAAAGTAG
</t>
  </si>
  <si>
    <t>cren1_8best_scaffolds_00013820</t>
  </si>
  <si>
    <t>cren1_8best_scaffolds_00018360</t>
  </si>
  <si>
    <t xml:space="preserve">LRCVNCGREYPESIWLFKCLSCNGLLEAKVNLKINHVNFQRNADGIWRFQ
DLLPKVSEIVSLNEGNTPLIKSREFENLYFKFEGLNPTGSFKDRGISVAV
SLAKSNGIKKIIVASTGNTAASAAAYAARAGMECTVVIPKGKVAKGKLFQ
TMLHGANIMEIEGNFDEALSYVMDKIKEEKETYPINSFNPWRIEGQKTLS
FELYEKLEIVDNVIVPVGNAGNISAIWKGFKELYELKIIDKMPKMIGVQA
EGASPIAEAWEKGLEKPIFFEKPETIATAIRIGKPVNWQKALKAVRESGG
IFVKVKDEEIMEAQKRLARHEGIGAEPASAAAFAAFLKVKRRNLINKYQK
TVVVLTGHALKDPA
</t>
  </si>
  <si>
    <t xml:space="preserve">TTGAGATGTGTAAATTGTGGCAGGGAATATCCAGAAAGTATTTGGTTGTT
CAAATGCTTAAGTTGCAATGGATTATTAGAAGCTAAGGTAAATCTAAAAA
TAAATCATGTAAACTTTCAAAGAAACGCAGATGGTATTTGGAGATTCCAA
GATTTGTTGCCTAAAGTATCTGAGATTGTATCATTGAATGAAGGAAATAC
TCCTTTAATAAAATCAAGAGAATTTGAAAATCTATATTTCAAATTTGAAG
GTTTAAACCCAACAGGAAGCTTCAAAGACCGTGGAATTAGTGTTGCAGTA
AGCTTAGCTAAAAGCAACGGAATAAAAAAGATAATAGTAGCATCAACAGG
AAATACCGCTGCATCAGCAGCTGCATATGCAGCTAGAGCAGGAATGGAAT
GCACTGTAGTGATACCAAAGGGTAAGGTTGCAAAAGGAAAATTATTTCAA
ACGATGTTACATGGAGCAAATATAATGGAAATTGAAGGGAATTTCGATGA
AGCATTAAGTTACGTAATGGACAAAATTAAAGAAGAAAAAGAGACTTATC
CGATAAATTCATTCAATCCTTGGAGAATTGAAGGCCAAAAAACTTTAAGC
TTTGAACTTTACGAAAAGCTTGAAATTGTAGACAATGTAATAGTTCCTGT
AGGGAATGCAGGAAATATTTCAGCAATATGGAAGGGCTTTAAAGAATTAT
ACGAGCTTAAAATTATCGATAAAATGCCCAAAATGATAGGAGTACAAGCA
GAAGGAGCTTCTCCTATAGCTGAAGCATGGGAGAAAGGTCTTGAAAAACC
AATCTTCTTTGAAAAACCTGAAACTATAGCTACAGCAATAAGAATAGGAA
AACCTGTTAACTGGCAAAAGGCTTTAAAGGCTGTAAGAGAATCAGGAGGA
ATTTTTGTTAAAGTTAAGGATGAAGAAATTATGGAAGCTCAGAAAAGACT
TGCAAGACATGAAGGAATAGGAGCTGAACCGGCTAGTGCAGCAGCATTTG
CTGCTTTCTTAAAGGTAAAAAGAAGAAACTTAATAAACAAATATCAGAAA
ACAGTAGTTGTATTAACAGGTCATGCTTTGAAAGATCCAGCTTAA
</t>
  </si>
  <si>
    <t>Threonine dehydratase</t>
  </si>
  <si>
    <t>cren1_8best_scaffolds_00002540</t>
  </si>
  <si>
    <t xml:space="preserve">MEIKYLQTEDFYRAKERIYEFTSRTPIIKSEIFSKEAGKNVYFKCEFIHE
VGSFKIRGVANKVLKEIEEGKEPRMLVTASSGNHGIALAYVGLRLNIPVY
VFVPEVGTGYKIFKMEKLGAKIIRAGKYSDIANRYAEKFAKKNNALYVHS
YDDKDVIIGQGTIGLEIYEQNKEIDCVVVPVGGGGLIAGIAYFLKNVNDK
IKIIGIQSESVPSLVKAIEKNKIFTVDAKKTIAEGMAVRKVGKIAFELSK
NYVDEILLVKEEEIINSLKEIFEKERILVEASGASSFAIKYRFLNSLKEN
NCFVLTGRNISSEALKLVME
</t>
  </si>
  <si>
    <t>ATGGAAATTAAATATTTGCAAACAGAAGATTTTTATCGTGCAAAAGAAAG
AATATATGAATTCACTTCTAGGACTCCTATAATTAAAAGTGAAATATTTT
CTAAGGAAGCTGGAAAGAATGTTTATTTTAAATGTGAATTCATACACGAA
GTAGGTTCTTTTAAAATAAGGGGCGTTGCTAATAAAGTTTTGAAAGAAAT
TGAGGAAGGCAAAGAGCCTAGAATGCTTGTAACTGCTTCTAGCGGAAATC
ATGGAATTGCTTTAGCTTATGTAGGTTTGAGATTGAATATTCCTGTATAT
GTTTTTGTTCCTGAAGTTGGAACAGGCTACAAAATTTTTAAAATGGAGAA
ATTGGGTGCAAAAATAATCAGAGCCGGCAAATATTCAGATATTGCAAATA
GGTATGCTGAAAAATTTGCTAAAAAGAATAACGCTCTTTATGTTCATTCT
TATGACGACAAAGATGTTATAATAGGTCAGGGAACTATCGGATTGGAGAT
TTATGAACAAAATAAAGAAATAGACTGTGTTGTCGTTCCTGTGGGTGGTG
GAGGATTAATAGCAGGGATTGCTTATTTTCTTAAGAATGTAAACGATAAA
ATTAAAATAATCGGTATTCAATCTGAAAGTGTTCCTTCCTTGGTAAAAGC
AATTGAAAAAAACAAAATCTTTACAGTAGATGCTAAAAAGACAATTGCAG
AAGGTATGGCTGTAAGGAAAGTAGGCAAGATAGCGTTTGAACTATCAAAA
AATTATGTAGATGAAATATTGTTGGTTAAAGAGGAGGAAATAATTAATTC
CTTAAAGGAAATTTTTGAAAAAGAGAGAATTTTAGTTGAAGCGAGTGGTG
CATCAAGTTTCGCTATTAAGTACAGATTTTTAAATTCTTTGAAAGAAAAT
AACTGTTTTGTATTAACAGGAAGGAACATTTCCTCAGAAGCTCTGAAACT
TGTTATGGAATAA</t>
  </si>
  <si>
    <t>threonine dehydratase, medium form</t>
  </si>
  <si>
    <t>cren1_8best_scaffolds_00011600</t>
  </si>
  <si>
    <t>MITYEDILRARKILKDVVHKTPLDYSTTFSKLTGCNVYLKLECLQKTGAF
KVRGAYNKIFSLSDEQKLRGVVTASAGNHAQGVAYSSKILGIKCTVVMPV
NASPAKVAATRSYGAEIVFHGNMYDNALEKALEIAEKENKVFIHAFDDEH
VIAGQGTIGIEILEDLPDVDAVIMPVGGGGLASGIAIAIKSKKPNVKIIG
VQTKAFPAIKETLEKNRIVEISNGFTIADGIAVKKPGNITLEILRKYMDD
IGLVDDEQIVKTMFLLMERSKLVIEPAGAVGLAYLLNEGNEKLKDKKVVV
VLSGGNVDMFLLGQIVHKGLGSIGRLVRISVQLYDRPGELKKVIDTIAAN
RVNIVDVMHDRLGSDVRAGSAKVILSLEAESSEHIDNLLKILKDKGIEYQ
LEP</t>
  </si>
  <si>
    <t>ATGATTACTTATGAAGATATCTTAAGAGCGAGAAAAATATTGAAAGATGT
TGTGCATAAGACTCCTTTAGATTATTCCACTACGTTTAGCAAGCTTACAG
GTTGTAATGTATACCTTAAGCTAGAATGTCTTCAAAAAACAGGGGCTTTT
AAAGTAAGAGGCGCCTATAATAAGATATTCTCTTTATCCGATGAACAAAA
GTTAAGAGGAGTTGTAACAGCATCTGCTGGAAATCATGCACAAGGTGTTG
CATATTCTAGCAAAATACTGGGAATTAAGTGTACAGTTGTAATGCCTGTT
AATGCTTCGCCTGCAAAAGTTGCTGCAACAAGGTCATACGGAGCAGAAAT
AGTCTTCCATGGAAATATGTACGATAATGCGTTAGAAAAAGCATTGGAAA
TAGCTGAAAAAGAAAACAAAGTTTTCATACATGCATTTGATGATGAACAT
GTGATAGCTGGACAAGGAACAATTGGAATTGAAATATTAGAGGATCTGCC
TGATGTTGATGCAGTAATCATGCCTGTTGGAGGAGGAGGACTAGCATCAG
GTATAGCTATTGCTATTAAAAGTAAGAAACCGAACGTCAAAATAATAGGT
GTTCAAACAAAAGCATTCCCTGCAATTAAAGAAACTTTAGAAAAAAATAG
AATAGTCGAGATAAGTAATGGTTTTACAATTGCAGATGGTATAGCTGTAA
AGAAGCCTGGAAACATCACATTGGAAATACTGAGGAAATACATGGATGAT
ATTGGATTGGTAGATGATGAACAGATAGTTAAGACAATGTTTCTACTTAT
GGAAAGATCAAAGCTAGTTATTGAACCTGCGGGCGCTGTTGGACTTGCAT
ACTTACTTAATGAAGGGAATGAGAAACTTAAAGATAAAAAAGTAGTTGTA
GTTTTAAGCGGAGGGAACGTGGATATGTTCTTACTTGGACAAATTGTTCA
TAAAGGTTTAGGTAGCATAGGAAGATTGGTGAGAATATCGGTCCAATTAT
ATGATAGGCCTGGCGAGCTAAAAAAGGTTATCGATACTATAGCAGCAAAC
AGGGTAAATATCGTTGATGTTATGCATGATAGATTAGGAAGTGATGTTAG
AGCTGGAAGTGCTAAAGTCATTCTCAGCTTAGAGGCTGAGAGTAGCGAAC
ATATTGATAATCTCCTGAAAATCCTCAAAGATAAAGGAATAGAATATCAA
CTAGAACCATAA</t>
  </si>
  <si>
    <t>4.4.1.1</t>
  </si>
  <si>
    <t>4.3.1.19</t>
  </si>
  <si>
    <t>Cystathionine beta-lyases/cystathionine gamma-synthases</t>
  </si>
  <si>
    <t>cren1_8best_scaffolds_00012900</t>
  </si>
  <si>
    <t xml:space="preserve">MDNLGFNTRAVHSGELIDKRFGNVVTPIFQNATFLYPNEEEFAYIDPTRN
KPYLYTRLGNPTFSSLESKISSLENSKFSLSFSSGMASIVSSILSILKKG
DSMLAINQLYGQTYEFFIKLKNNFGIEVDFVSVDEINNLEIPNKKYKLIY
IESITNPTLQVTDVYEISKFSKEIGAKLIVDATFASPYNQRPLDFGATIS
VHSGTKYISGHSDVIIGISSTNDKEIYDGLVENRNNMGGVPDPFSAYLTL
RGVKTLGLRMERHQDNAFKLAKFLRDHRKVSRVFYPGLEENEYHKVAKKV
LKGFGGMLSFEIKGGIESARKFLRNLKICIVAPSLGGVETLVTLPIETSH
RQLSKEEMNKMGISEGLVRVSVGIEDYEDLENDFSQALDKV
</t>
  </si>
  <si>
    <t>ATGGATAATTTAGGATTTAATACAAGAGCTGTACATTCAGGAGAACTTAT
AGACAAAAGGTTTGGAAACGTTGTAACACCAATATTTCAAAACGCAACAT
TCTTGTATCCAAATGAGGAAGAGTTTGCATACATAGATCCTACTAGGAAT
AAGCCTTATCTCTATACTAGACTCGGAAATCCTACTTTTTCCTCCTTAGA
AAGTAAGATTTCTTCTCTTGAAAATTCAAAGTTTTCTCTTTCCTTCTCAT
CTGGAATGGCTTCAATTGTTTCATCAATTCTAAGCATTTTAAAGAAAGGA
GATTCGATGCTTGCAATTAATCAGCTTTATGGACAGACTTACGAATTTTT
CATTAAATTGAAGAATAACTTTGGGATAGAGGTTGATTTTGTAAGTGTAG
ATGAAATTAACAATTTGGAAATACCGAATAAGAAATACAAATTGATTTAC
ATAGAATCTATAACGAATCCAACTTTGCAGGTTACAGATGTCTATGAAAT
TTCAAAGTTTTCGAAGGAAATTGGTGCTAAATTAATAGTCGATGCTACAT
TTGCATCTCCCTATAATCAAAGGCCTTTAGATTTTGGAGCTACCATTTCA
GTTCATAGCGGTACAAAATACATTTCTGGACATAGTGATGTAATCATAGG
AATTTCTTCAACGAATGATAAGGAAATCTATGATGGCTTAGTTGAAAACA
GAAATAATATGGGAGGAGTTCCTGATCCTTTTTCAGCTTACCTTACTTTA
AGAGGTGTAAAAACTTTAGGATTGAGGATGGAAAGGCATCAAGATAATGC
ATTTAAACTTGCTAAATTCTTGAGGGATCATAGAAAGGTCTCAAGAGTTT
TCTATCCTGGTTTAGAAGAAAATGAATACCATAAGGTTGCTAAGAAAGTC
CTTAAAGGATTTGGAGGAATGTTATCCTTTGAAATAAAAGGAGGAATAGA
ATCAGCAAGAAAGTTTTTGAGAAACCTTAAGATCTGTATTGTTGCACCTA
GCTTGGGTGGCGTTGAAACTCTTGTAACTTTACCTATTGAAACAAGTCAT
AGACAGCTATCTAAAGAAGAGATGAATAAAATGGGAATAAGTGAAGGATT
GGTTAGAGTATCTGTAGGAATTGAAGATTATGAAGATTTGGAAAATGACT
TTTCCCAAGCATTGGATAAAGTTTAA</t>
  </si>
  <si>
    <t>4.4.1.8</t>
  </si>
  <si>
    <t>2.1.1.13</t>
  </si>
  <si>
    <t>cren1_8best_scaffolds_00005890</t>
  </si>
  <si>
    <t>assumed per: Methionine synthase II (cobalamin-independent)</t>
  </si>
  <si>
    <t>MDEILPTQEIGSLSRHLMFKENLSNSDIKSIIEQGISLEVPNIELLEKLL
LEGGYRKYPEEIEKFASLFAIKLFEKVGLDIIFNGEQPRKEMYHYPLQFI
EGFRFVGEVRVFDNQYFPKGEVIAEPKLKIPYHLNEFLFVKENTKKKIKI
PITGAYTLADWSFNTFYQKKWISKLGDYYKEKYEAKRELAIELAKKIIRE
NLKALIENGAEIIQIDEPAATTVPEEIPIFVESLNESIKGLNAKFHCHIC
YSRDYSILFPNILEVKNLKQLALEFSNRDSIELGVDEKSRRGFSFLKKFK
QFSSSLEIGIGVVDVHTDFIEPVELIRDRILYALKVLKDEKTIYVNPDCG
LRTRNWDVAKNKLTNMVKAVKEVRISLK</t>
  </si>
  <si>
    <t xml:space="preserve">ATGGATGAGATTTTACCGACTCAAGAAATAGGAAGTTTATCTAGGCATTT
GATGTTTAAAGAAAATCTATCTAATTCCGATATAAAGTCAATAATTGAGC
AAGGGATTTCATTAGAAGTCCCAAATATAGAATTACTTGAAAAATTGTTG
CTAGAGGGTGGATACAGAAAATATCCCGAGGAAATAGAAAAATTTGCTAG
TCTATTTGCAATAAAACTTTTTGAGAAAGTAGGATTAGATATAATTTTCA
ACGGTGAACAACCCAGGAAAGAGATGTATCATTATCCTCTACAATTTATA
GAAGGATTTAGGTTTGTAGGAGAAGTTAGGGTTTTTGATAATCAATATTT
CCCTAAAGGAGAAGTAATTGCTGAACCGAAGCTTAAAATTCCCTACCATC
TTAATGAATTTTTGTTTGTTAAAGAGAATACAAAGAAAAAAATTAAGATT
CCCATAACTGGTGCATATACTTTGGCTGACTGGTCATTCAACACATTCTA
TCAGAAAAAATGGATAAGCAAACTTGGAGATTATTATAAAGAAAAGTACG
AAGCAAAAAGAGAATTAGCAATAGAGTTAGCTAAGAAAATTATCAGGGAG
AATTTAAAAGCTTTAATCGAAAACGGAGCTGAGATTATTCAAATTGATGA
ACCTGCAGCAACTACAGTTCCTGAAGAAATTCCAATTTTTGTTGAATCAT
TGAATGAATCTATTAAAGGTTTAAATGCCAAGTTTCATTGCCACATTTGT
TATTCAAGGGACTATAGCATACTTTTCCCAAATATTCTTGAGGTAAAAAA
TCTTAAACAGTTAGCCCTTGAATTTTCGAATAGGGATTCGATTGAATTAG
GTGTGGATGAAAAATCAAGAAGAGGATTTTCTTTTCTTAAAAAGTTCAAA
CAATTTTCTTCAAGCTTAGAGATAGGAATTGGGGTCGTCGATGTTCATAC
CGATTTTATAGAACCTGTAGAATTGATTAGAGATAGAATACTTTATGCGT
TAAAAGTTCTGAAAGATGAAAAAACAATCTATGTAAATCCTGATTGTGGA
TTAAGAACAAGAAATTGGGATGTTGCAAAAAATAAATTAACCAATATGGT
TAAAGCAGTAAAAGAAGTTAGGATCTCTCTTAAATAA
</t>
  </si>
  <si>
    <t>cren1_8best_scaffolds_00014400</t>
  </si>
  <si>
    <t>Methionine synthase II (cobalamin-independent)</t>
  </si>
  <si>
    <t>MSALFPVTVVGSWPRPKWLLDALRKKREGKISEEEFQAIADEAVLIAIKY
QEDAGVDIISDGEQRRDNFYSFVADKIEGIELKTVAEFMDFAEDKSAFEA
LLRKLDVPAFAIRSPIVTNYIHKRIPLALNEAKFLKEHTNKKIKVALPGP
YLLTRSSWIKGISDKYYKKKEDLAEEFSKILREEIILLRDAGVDFVQLDE
PVLMEVLYGPELSVQTFMCAALTAKENPRDELSFAVDILNKTVQGITGVK
LGVHICRGNWSKSEEAQLKGDYYPLLPFLLDMKVNQYVLEFATKRAGSID
VFKDYPTEKELGLGVVNPKTDEIERPEDIISLVKKALNYFRPEQIYLNPD
CGFGTFAESPVNTPKISFLKLKSISKAASVLRKEYS</t>
  </si>
  <si>
    <t>ATGAGCGCCCTTTTTCCTGTTACTGTTGTAGGAAGTTGGCCAAGGCCTAA
ATGGCTTCTTGATGCATTAAGAAAAAAGAGAGAGGGAAAGATCTCAGAGG
AAGAATTTCAAGCCATAGCTGATGAAGCCGTTCTCATTGCTATAAAATAT
CAGGAAGATGCAGGTGTTGACATAATTTCTGATGGAGAACAGAGAAGGGA
CAATTTCTATTCCTTTGTTGCCGATAAGATAGAAGGAATTGAACTTAAAA
CTGTTGCAGAATTCATGGACTTTGCTGAAGATAAATCAGCATTTGAAGCT
TTGTTAAGGAAGTTAGACGTTCCAGCTTTTGCAATTCGTTCTCCTATTGT
AACTAACTACATTCATAAAAGAATACCTTTAGCTTTAAATGAAGCTAAGT
TTTTGAAGGAACATACAAATAAAAAAATTAAGGTTGCATTGCCAGGTCCT
TACTTGTTAACTAGGTCTTCTTGGATAAAAGGTATCTCTGATAAGTATTA
TAAGAAAAAGGAAGATCTTGCTGAGGAATTTTCGAAAATTCTAAGAGAAG
AGATAATACTTCTAAGGGATGCGGGAGTTGATTTTGTTCAGCTTGATGAA
CCTGTTCTGATGGAAGTTCTATATGGTCCAGAACTTAGTGTTCAAACTTT
CATGTGTGCCGCATTAACTGCAAAGGAGAATCCTAGGGATGAATTAAGCT
TTGCTGTTGATATCTTGAATAAAACTGTTCAAGGAATTACAGGTGTAAAA
CTTGGAGTACATATTTGTAGAGGTAACTGGAGCAAATCAGAGGAAGCTCA
GTTAAAGGGGGATTATTATCCTTTGCTACCCTTCCTATTAGATATGAAGG
TTAATCAATATGTTCTTGAATTCGCTACTAAAAGAGCAGGTTCAATAGAT
GTTTTCAAGGATTATCCTACAGAAAAGGAATTAGGCTTAGGGGTTGTTAA
TCCAAAGACTGATGAGATTGAAAGACCTGAGGATATTATTTCGCTTGTAA
AGAAAGCGTTGAACTACTTTAGACCTGAGCAAATATATTTGAATCCTGAT
TGTGGTTTTGGTACTTTTGCAGAATCCCCTGTAAATACTCCAAAGATATC
TTTCTTAAAATTAAAATCAATAAGCAAGGCTGCAAGCGTATTAAGAAAGG
AATACAGCTAA</t>
  </si>
  <si>
    <t>Glycine/serine hydroxymethyltransferase</t>
  </si>
  <si>
    <t>cren1_8best_scaffolds_00004320</t>
  </si>
  <si>
    <t xml:space="preserve">MSEKVSKLIDLVTKHKKERVEKSINLISSENILSPQVRLLLACDFASRYT
SEEKFYMGKEYIDGVQELCKDVAKELFNAKYVDLRMISGHIADLTFLVTY
NLRNDTILCLSPEDGGYPGISKEALPRILGINVEYFPFDKEDFEIKVEDT
VEMLYRVRPKSVIFGASLFLYPHPVKKISKVAKEIGAVVGYDASHVLGLI
AGKQFQDPLREGAEVMFGSTHKTFFGPQGGIILSDSRDEFTKTIHPSIVD
NAHYNRIAALAMALLEMSEFGESYANQIIKNSKKLGKALLEFDLPVQGKK
EIITESHQVLLSPKEYQKNSEFARELEKVNIITDCGIRLGVNEVTRIGMK
ENEMEKIAELIYRVYKGDDKEEIKREVIKLKSDFDEIEYSFKEIEPFDFL
KSFL
</t>
  </si>
  <si>
    <t>ATGTCAGAAAAAGTATCCAAGTTAATTGACCTAGTAACAAAGCACAAAAA
AGAAAGGGTTGAAAAATCTATAAATCTTATATCCTCTGAAAATATTTTAA
GTCCTCAAGTTAGATTGCTTCTTGCATGCGATTTTGCCAGTAGGTATACT
TCTGAAGAAAAATTTTACATGGGTAAGGAATACATCGATGGTGTCCAAGA
ACTTTGTAAAGATGTTGCTAAAGAATTGTTCAATGCAAAATATGTTGACT
TAAGAATGATCTCGGGCCACATAGCTGATTTAACTTTTTTGGTAACTTAC
AATTTAAGAAATGATACGATTTTGTGTCTTTCTCCAGAAGATGGAGGATA
TCCTGGCATTTCAAAGGAGGCCTTGCCTAGAATTCTTGGAATAAATGTTG
AGTATTTTCCTTTCGATAAAGAAGATTTTGAAATTAAAGTCGAAGACACT
GTAGAAATGCTCTATAGGGTAAGGCCAAAATCTGTTATTTTTGGGGCTAG
TCTTTTCCTTTATCCTCATCCAGTTAAAAAAATAAGCAAAGTAGCTAAAG
AAATAGGTGCTGTTGTTGGTTACGATGCTTCTCATGTTCTTGGATTAATT
GCTGGTAAGCAATTTCAAGATCCTTTGAGAGAAGGAGCAGAAGTAATGTT
TGGATCAACACATAAAACATTTTTTGGTCCACAGGGCGGTATAATTTTAT
CAGATAGCAGAGACGAGTTTACAAAAACTATCCATCCCTCCATTGTTGAC
AACGCTCATTACAACAGAATTGCAGCATTAGCAATGGCATTGCTGGAAAT
GAGTGAATTTGGAGAAAGTTATGCAAATCAAATAATAAAAAATTCAAAGA
AATTAGGCAAAGCTCTTCTGGAATTCGATCTTCCAGTACAGGGTAAAAAA
GAAATAATAACAGAATCCCATCAGGTTCTTCTTTCTCCTAAAGAATACCA
AAAAAATTCGGAATTTGCAAGAGAACTTGAAAAGGTAAATATAATTACAG
ATTGCGGAATAAGACTTGGAGTAAACGAAGTTACAAGAATTGGAATGAAG
GAGAACGAAATGGAAAAAATAGCTGAGTTAATTTACAGAGTGTATAAGGG
TGATGATAAAGAAGAAATAAAAAGAGAAGTGATAAAATTGAAAAGCGATT
TCGATGAAATAGAGTATAGTTTCAAAGAAATTGAGCCTTTTGATTTTCTA
AAATCTTTTTTATAA</t>
  </si>
  <si>
    <t>cren1_8best_scaffolds_00012290</t>
  </si>
  <si>
    <t xml:space="preserve">MAYEEIYRIVELVRNHNKWRRKECINLIASENVTSPLVDMLYMNDGMHRY
AEGLPWKRYYQGTRYIDEIEEKTNQALGELFEAKFVDIRPVSGTSANGAA
FYSLGERNSIALVAPVYAGSHVSHTKFGILGALGIVETELPFNHEEMKVD
VDRSIKEIKNKKPKIVIVGGSLILFRQPVKELREAANEVGSYIIYDAAHV
LGLIAGKQFQDPLKEGADLVTSSTHKTFPGPQGGVAMTNNQEVFKKFRKV
IFPVFVSNHHLHRLAATWATALEMKYFGEQYAKDIIKNAKALAEELHARG
FKVLGEKYGFTETHQVALDVRNLGGGAYVAALLENCNIITNKNMIPGDTP
DKVREPSGLRLGVQEMTRYGCGVSEMKYIAELMEKALIKKANPEEIKLEV
IQFRKSFQEVKYTFDINIESLTEAKLPILI
</t>
  </si>
  <si>
    <t>ATGGCTTACGAGGAAATATACAGAATTGTTGAATTGGTAAGAAATCATAA
CAAGTGGAGAAGAAAAGAGTGTATAAATTTAATCGCTTCTGAGAACGTAA
CTTCGCCCTTAGTAGATATGCTTTATATGAATGATGGAATGCATAGATAT
GCTGAAGGTCTTCCTTGGAAAAGATATTATCAAGGAACAAGGTATATAGA
TGAAATAGAAGAGAAAACTAATCAAGCTCTAGGCGAACTTTTCGAAGCCA
AATTTGTAGATATTAGGCCAGTTTCTGGAACTTCAGCTAACGGTGCAGCA
TTTTATTCTTTAGGTGAGAGAAATAGCATTGCATTGGTAGCTCCTGTTTA
TGCAGGTTCCCATGTTAGTCATACCAAATTTGGTATTCTTGGTGCTTTAG
GCATTGTAGAAACTGAGCTTCCTTTCAATCATGAAGAGATGAAGGTTGAT
GTAGATCGATCGATAAAGGAAATTAAAAATAAGAAGCCTAAGATAGTAAT
AGTCGGAGGTTCATTAATACTGTTCAGGCAGCCTGTAAAAGAACTGAGGG
AGGCGGCCAATGAGGTTGGAAGCTATATTATATACGATGCTGCACATGTT
CTTGGATTGATAGCAGGTAAACAGTTCCAAGATCCATTAAAGGAAGGTGC
TGATTTGGTTACAAGCTCTACTCATAAAACTTTTCCAGGTCCTCAAGGAG
GAGTAGCTATGACAAACAATCAAGAAGTTTTCAAAAAGTTTAGAAAAGTA
ATATTTCCAGTGTTTGTGTCAAACCACCATCTGCATAGGTTAGCTGCTAC
TTGGGCTACAGCACTTGAAATGAAATACTTTGGTGAACAATATGCAAAAG
ATATTATAAAAAATGCTAAAGCTTTGGCAGAAGAATTACATGCTCGAGGA
TTTAAAGTTTTGGGGGAAAAGTATGGATTTACTGAAACACATCAGGTGGC
TTTGGATGTTAGAAATTTAGGAGGTGGTGCTTATGTGGCGGCTTTGCTCG
AGAATTGCAATATAATAACAAACAAAAACATGATACCAGGCGATACGCCT
GATAAAGTTAGAGAACCAAGTGGTCTCAGATTAGGTGTTCAGGAGATGAC
GAGATATGGATGTGGTGTAAGCGAAATGAAATACATAGCTGAACTGATGG
AAAAAGCTTTAATAAAGAAAGCGAATCCCGAAGAGATAAAATTAGAAGTA
ATTCAATTTAGAAAATCTTTCCAAGAAGTAAAATACACGTTTGATATAAA
CATTGAAAGTTTAACCGAGGCTAAATTGCCAATCCTTATTTAG</t>
  </si>
  <si>
    <t>2.1.2.1</t>
  </si>
  <si>
    <t>ATP phosphoribosyltransferase</t>
  </si>
  <si>
    <t>cren1_8best_scaffolds_00017650</t>
  </si>
  <si>
    <t xml:space="preserve">MYKLKFAIPKGSLEKATFDFLERAMFEIYGKERSYRPTTNDPDLALKILR
PQEIPIYVSEGLYDIGITGIDWVEETEANVKILLNLEYGRVNLVIAVPKT
LNVNSTDELIKQYFDSKKVLRISTEYPRLVSRYISSLEIYKRLYGEMKPT
IVTPWWKIGENDKVQIYLSFGATEAKPPDEADAIADISETGTTLEQNNLK
AIDVIIKSSAILIANIQSLKDEAKKEKIYDIVAQFKGVIESKKKYHIFVN
VKEENLEELLRTLPALKSPTISPLSKKGWYAVNTVIERSEYLKILPRLRK
LAQGLVLYEPQLVMPLEEIQDK
</t>
  </si>
  <si>
    <t>ATGTATAAACTAAAATTTGCTATACCTAAAGGGTCCCTAGAAAAGGCAAC
TTTTGATTTCCTTGAGAGGGCAATGTTCGAAATATACGGTAAAGAAAGAA
GTTACAGGCCTACAACAAATGATCCAGATCTGGCTTTAAAAATACTTAGA
CCACAGGAAATTCCGATCTATGTTTCTGAAGGGTTGTACGATATAGGTAT
AACTGGAATAGATTGGGTTGAAGAAACAGAAGCGAATGTAAAAATTCTAT
TAAATCTTGAGTATGGTAGAGTTAATCTGGTAATTGCTGTACCAAAAACC
TTAAACGTTAATTCTACAGATGAGCTAATAAAACAATACTTTGATTCCAA
GAAAGTTTTAAGGATATCTACCGAATATCCTAGATTGGTATCAAGGTATA
TTTCTTCGCTTGAAATTTATAAAAGGCTTTATGGAGAGATGAAGCCTACA
ATAGTAACTCCTTGGTGGAAAATAGGAGAAAATGATAAAGTTCAAATATA
TTTATCGTTTGGTGCAACAGAAGCAAAACCCCCGGATGAAGCTGATGCAA
TTGCAGACATTTCAGAAACAGGTACAACTTTGGAGCAAAATAATCTAAAA
GCTATAGATGTTATAATAAAATCCAGTGCAATCTTAATTGCAAATATTCA
ATCGTTAAAGGATGAAGCAAAGAAAGAGAAAATTTACGATATAGTGGCGC
AATTCAAAGGAGTAATAGAGAGCAAAAAGAAGTATCATATATTCGTAAAT
GTAAAAGAAGAAAACTTAGAAGAACTTTTAAGAACACTTCCTGCACTTAA
ATCTCCAACAATAAGTCCTCTTTCAAAGAAAGGCTGGTATGCTGTTAATA
CCGTAATTGAAAGAAGCGAATATTTAAAAATACTTCCTAGATTAAGAAAG
CTTGCACAAGGATTGGTTCTCTATGAGCCCCAATTGGTAATGCCTTTAGA
AGAAATACAAGATAAATGA</t>
  </si>
  <si>
    <t>2.4.2.17</t>
  </si>
  <si>
    <t>3.6.1.31</t>
  </si>
  <si>
    <t>3.5.4.19</t>
  </si>
  <si>
    <t>Phosphoribosyl-AMP cyclohydrolase</t>
  </si>
  <si>
    <t>cren1_8best_scaffolds_00017690</t>
  </si>
  <si>
    <t xml:space="preserve">MNSFEQVDIKELDFSKGNGLIPVVTQDYETKDILMLAYVNKEALEKTIET
GLAHYWSRSRGKIWLKGETSGNYQKIIEIRVDCDNDSIIYIVKPLGPACH
TGNFSCFYRRLKKE
</t>
  </si>
  <si>
    <t xml:space="preserve">ATGAATAGTTTTGAGCAGGTCGATATTAAAGAACTTGATTTCAGCAAAGG
AAATGGGCTAATTCCTGTCGTTACGCAAGATTATGAAACTAAGGATATTC
TAATGCTTGCTTATGTAAATAAAGAAGCATTGGAAAAAACAATCGAAACA
GGTCTCGCGCATTATTGGAGCCGTTCAAGAGGAAAGATTTGGCTTAAGGG
AGAAACATCAGGAAACTATCAGAAGATAATTGAGATAAGAGTGGATTGCG
ATAATGATTCAATTATATATATAGTTAAACCTTTAGGGCCCGCATGTCAT
ACAGGAAACTTTTCTTGCTTTTATAGAAGACTAAAAAAAGAATAG
</t>
  </si>
  <si>
    <t>5.3.1.16</t>
  </si>
  <si>
    <t>Phosphoribosylformimino-5-aminoimidazole carboxamide ribonucleotide (ProFAR) isomerase</t>
  </si>
  <si>
    <t>cren1_8best_scaffolds_00017670</t>
  </si>
  <si>
    <t>MEIYASIDLIKGKVVRLIKGMPENAIFYGESPLETALKLQDYGIDGLHIV
DLDAALGEGNNLEVIHEISKNVKIPIQVAGGIRSIEKAKEVLKFANRVVI
GTLLYTKEVDYNELLKLGEKRIVVAIDYKKGKVSIEGWKKELELNLNEAI
SKFWDKGFRLFMLTNIVYDGTLEGLDFTELTSLSKAYISNIYLAGGTKSL
EDLIKAKNFGFRGIIIGRAIYEGKIKKEDIFSFKNGLS</t>
  </si>
  <si>
    <t>ATGGAAATCTATGCCTCAATAGATCTGATAAAAGGTAAAGTTGTAAGATT
GATAAAAGGTATGCCTGAGAATGCTATTTTTTACGGTGAATCTCCTTTGG
AAACTGCTTTGAAATTACAAGATTACGGCATAGATGGTCTGCATATTGTT
GACTTAGATGCGGCTCTTGGCGAAGGAAATAATCTAGAAGTGATTCATGA
AATATCGAAGAATGTAAAGATTCCTATACAAGTTGCAGGAGGAATAAGGA
GTATTGAAAAAGCAAAAGAAGTTCTAAAGTTTGCAAATAGAGTTGTTATT
GGAACATTGCTTTATACCAAAGAAGTAGATTATAATGAACTTTTGAAACT
AGGAGAAAAGAGGATAGTTGTTGCAATAGATTATAAAAAGGGAAAGGTAA
GCATTGAAGGATGGAAAAAAGAATTGGAATTAAACTTGAATGAAGCAATT
TCAAAATTTTGGGATAAAGGCTTTAGACTTTTCATGTTAACTAACATCGT
TTACGACGGTACCTTAGAAGGCCTTGATTTCACAGAATTAACAAGTCTGA
GTAAAGCTTATATAAGTAATATTTACCTTGCGGGAGGAACAAAAAGCTTA
GAAGACCTAATAAAAGCAAAGAATTTTGGTTTTCGCGGAATCATAATAGG
AAGAGCAATATATGAAGGGAAAATAAAAAAAGAAGATATATTCAGTTTCA
AAAATGGGCTTAGCTAA</t>
  </si>
  <si>
    <t>4.1.3.- / 2.4.2.-</t>
  </si>
  <si>
    <t>imidazoleglycerol phosphate synthase, cyclase subunit</t>
  </si>
  <si>
    <t>cren1_8best_scaffolds_00017680</t>
  </si>
  <si>
    <t xml:space="preserve">MGLAKRIIPCLDVDKGRVVKGKRFGDLRDVGDPVEMAIKYRDDGADEIVF
LDINATIEKRKTLIEVVEKVASKIDIPFTVGGGIRNVEDAFQLLRSGADK
ISINTAAFENPEIISTLADKFGSQCVVVAIDAKRTFNTRSGYEVFTHSGK
VATETDVVEWAKKAEALGSGELLLTSIDRDGTRMGYDLDLLKLVTSSVKI
PVIASGGVGSLDHFYQAFYFGNADAALAASVFHYGDFTIKQIKEFLYLKG
IKVRLV
</t>
  </si>
  <si>
    <t>ATGGGCTTAGCTAAAAGAATTATTCCTTGTTTAGATGTAGATAAAGGCAG
AGTAGTTAAGGGAAAAAGATTTGGCGACTTAAGAGATGTTGGCGATCCCG
TAGAAATGGCTATTAAATACAGAGATGATGGAGCTGATGAGATTGTATTT
TTAGATATCAATGCTACAATCGAAAAGAGGAAAACTTTAATTGAGGTGGT
TGAAAAAGTAGCAAGCAAAATAGATATTCCATTTACAGTAGGAGGTGGTA
TAAGAAATGTTGAAGATGCTTTTCAATTGTTAAGAAGCGGTGCTGACAAA
ATATCAATAAATACTGCTGCGTTTGAAAATCCTGAAATAATCTCAACGCT
TGCTGATAAGTTTGGAAGTCAATGCGTCGTGGTTGCAATAGATGCCAAAA
GAACTTTTAATACAAGATCTGGCTATGAAGTTTTTACTCATTCAGGAAAG
GTTGCTACAGAAACTGATGTTGTTGAATGGGCAAAGAAAGCAGAAGCCTT
GGGATCAGGAGAATTACTATTAACTTCTATCGATCGAGATGGAACTAGAA
TGGGATATGATCTCGATCTTCTTAAATTAGTAACATCCAGTGTAAAAATT
CCAGTGATCGCAAGCGGAGGTGTTGGATCTTTGGATCACTTTTATCAGGC
TTTTTATTTTGGCAATGCTGATGCAGCTTTAGCTGCTTCTGTTTTTCATT
ATGGAGATTTTACGATAAAGCAAATTAAAGAATTTTTATATTTGAAAGGA
ATTAAGGTGAGATTAGTATGA</t>
  </si>
  <si>
    <t>imidazole glycerol phosphate synthase, glutamine amidotransferase subunit</t>
  </si>
  <si>
    <t>cren1_8best_scaffolds_00017660</t>
  </si>
  <si>
    <t>MIFGIIDYGASNIFSLIHALKRLNINTKIIGNPKEIESLDAVILPGVGNF
TSASQIMLKFKENLLKACESNIPIFGICLGLQLFFEESEEGFGKGLAFLD
GKVVKFKVNLKVPHMGWNSIKKVRSSTLLKDLNSEAWAYFAHSYYPLPKN
DEIIKGVTDYGIEFPSVIEFKNLFGTQFHPEKSGITGQRILNNFIEYLKK</t>
  </si>
  <si>
    <t xml:space="preserve">ATGATATTCGGGATCATTGACTATGGGGCAAGTAACATATTCAGTTTGAT
TCATGCATTAAAAAGGTTAAACATTAATACAAAAATCATTGGAAATCCAA
AGGAAATTGAAAGTCTTGATGCAGTGATTTTACCAGGTGTGGGAAATTTT
ACCTCAGCATCTCAAATTATGTTAAAATTTAAAGAGAATTTACTGAAAGC
CTGCGAAAGCAACATACCAATATTTGGAATTTGTTTAGGTCTTCAGTTGT
TTTTCGAAGAGAGTGAAGAAGGTTTTGGAAAAGGTCTAGCCTTTCTTGAT
GGGAAAGTTGTTAAATTCAAAGTTAATTTAAAGGTTCCGCATATGGGATG
GAATTCAATAAAGAAAGTAAGATCAAGCACTCTACTTAAAGATTTGAATT
CGGAAGCCTGGGCATATTTTGCTCATTCTTACTATCCTTTGCCAAAAAAC
GATGAAATTATAAAGGGGGTTACTGATTACGGCATAGAATTTCCTTCTGT
TATAGAATTTAAGAACTTGTTTGGAACACAGTTTCATCCTGAGAAATCTG
GAATAACAGGACAAAGAATTTTGAATAATTTTATTGAATATTTAAAGAAG
TAA
</t>
  </si>
  <si>
    <t>4.2.1.19</t>
  </si>
  <si>
    <t>2.6.1.9</t>
  </si>
  <si>
    <t>3.1.3.15</t>
  </si>
  <si>
    <t>1.1.1.23</t>
  </si>
  <si>
    <t>4.3.3.7</t>
  </si>
  <si>
    <t>dihydrodipicolinate synthase</t>
  </si>
  <si>
    <t>cren1_8best_scaffolds_00013920</t>
  </si>
  <si>
    <t>MGFEGFKGCITAIVTPFQKNLEVDFQGLRRLISFQIENGIDGIVVLGTTG
ESPTITEEERKQILKVAVDVANGKIPVIAGTGTYSTAESIKMTREAAEIG
VDGALIVAPYYNKPTQEGLYRHFKAIAESVDIPIILYNIPGRTGVNIEVS
TQSRLLEINNIVSVKEASGNIQQIMDVISILPSNKTVLSGDDNLTFPIMA
CGGKGVISVVSNILPRQVKELVTSVLNGNLQRAREIHYNLMPIFKAAFLE
TNPIPIKTAMNLVGLPAGPCRPPLCEMSQQNLDKLKTVLRKYYEIPIQ</t>
  </si>
  <si>
    <t>ATGGGCTTTGAAGGTTTCAAAGGCTGTATAACTGCAATAGTAACTCCTTT
CCAAAAAAATCTTGAGGTGGATTTTCAAGGATTAAGAAGGTTGATTAGTT
TCCAAATCGAAAACGGCATTGATGGGATTGTAGTTCTAGGAACAACTGGA
GAATCTCCCACAATCACAGAAGAAGAAAGAAAACAAATTCTAAAGGTGGC
TGTTGATGTGGCAAATGGAAAAATTCCTGTTATAGCTGGTACAGGGACAT
ATTCAACAGCTGAATCTATAAAAATGACAAGGGAAGCTGCAGAAATAGGG
GTTGATGGAGCTTTAATAGTTGCTCCATATTATAATAAACCTACACAGGA
AGGATTGTATAGGCACTTTAAAGCTATAGCTGAAAGTGTTGACATCCCAA
TAATTCTTTATAATATCCCAGGAAGGACAGGAGTAAACATTGAAGTATCT
ACTCAATCAAGACTTCTCGAAATAAATAATATAGTTTCAGTAAAGGAAGC
TTCGGGAAACATCCAGCAAATTATGGATGTGATTTCTATTTTGCCTAGCA
ATAAAACTGTTCTTAGCGGTGATGATAACTTAACATTTCCTATAATGGCA
TGTGGAGGGAAAGGTGTGATTTCTGTTGTTAGCAATATATTGCCAAGACA
AGTTAAAGAATTAGTTACAAGCGTTTTAAACGGAAACCTACAGAGGGCTA
GAGAAATACACTACAATTTAATGCCGATATTCAAGGCGGCTTTCCTCGAA
ACAAATCCTATTCCAATTAAAACTGCAATGAACTTGGTTGGCCTACCAGC
AGGTCCTTGCAGACCTCCTTTGTGCGAAATGAGTCAGCAAAATCTTGATA
AACTAAAAACAGTGCTAAGAAAATACTATGAGATACCAATTCAATGA</t>
  </si>
  <si>
    <t>cren1_8best_scaffolds_00014700</t>
  </si>
  <si>
    <t>MKENLKGSIVPLVTPFNEDLTIDFDSLFELIDWQIKNGSHGISIAGSTGE
TISLTLEEKKELIKEVTKYVGNKVPVIPGTGCGNLKDTIELTEYAEKTGC
DAALVLVPYYSRPNQQGIFEYFKAVANSVSIPIIIYNIPLRTGTNIEPST
LKRLKERCSNIVGIKEANTNFDQMSKDILECGEDFLVYSGIESLCFPLLA
IGGAGYFSATANILPRKLADLYNLTKEGKWVEARKLHYKLLPVNEVLFVD
TNPIPVKEALAYLGKIKPVFRPPLTNLSKDKKEKLIGILEEFFKAEKNQ</t>
  </si>
  <si>
    <t xml:space="preserve">ATGAAAGAAAATTTAAAAGGTTCAATCGTACCTTTGGTTACACCTTTTAA
TGAAGACTTAACAATAGATTTTGATTCTCTTTTTGAGCTTATTGATTGGC
AAATAAAAAATGGATCACATGGTATATCAATTGCAGGAAGTACCGGAGAA
ACAATATCTTTAACATTGGAAGAAAAGAAAGAGCTAATAAAAGAAGTAAC
CAAATATGTAGGAAACAAAGTACCTGTAATTCCGGGAACAGGCTGTGGAA
ATTTAAAAGATACAATAGAGTTAACAGAATATGCCGAAAAAACAGGTTGC
GATGCTGCTTTAGTTTTGGTTCCGTATTATTCAAGACCTAATCAGCAAGG
AATATTCGAATATTTCAAAGCAGTCGCAAATTCTGTATCAATCCCAATAA
TAATTTATAACATACCTTTAAGAACAGGTACAAATATAGAGCCATCAACT
TTAAAGAGGCTTAAAGAAAGGTGCTCCAATATTGTAGGAATCAAGGAGGC
AAATACTAATTTTGATCAAATGAGTAAGGACATATTGGAATGCGGTGAAG
ATTTTCTTGTATATTCAGGAATTGAATCTCTTTGTTTTCCTTTATTAGCA
ATAGGGGGTGCTGGATATTTTAGTGCGACTGCAAATATTTTACCTAGAAA
ATTAGCTGATTTATATAATCTGACCAAAGAAGGAAAATGGGTTGAAGCAA
GGAAGCTCCATTATAAGCTTCTTCCAGTAAATGAAGTTCTCTTTGTAGAT
ACAAATCCAATTCCCGTGAAAGAGGCTTTGGCATACTTAGGGAAAATCAA
GCCAGTTTTTAGGCCTCCGCTTACCAATTTATCGAAGGATAAAAAGGAAA
AACTTATTGGAATTTTGGAAGAATTTTTCAAAGCTGAGAAGAATCAATGA
</t>
  </si>
  <si>
    <t>1.3.1.26</t>
  </si>
  <si>
    <t>dihydrodipicolinate reductase</t>
  </si>
  <si>
    <t>cren1_8best_scaffolds_00013930</t>
  </si>
  <si>
    <t>MKISLIGYGRMGREVKSVANEFNIKVVSIIDPSDPEATHRKIDEEALKDA
DVAIDFTRPDAVVNNVKLVAKNKVNMVVGTTGWYDKLNIVSEIVKENNIG
LVYGSNFSIGANVFFKIVNYASSLLGRIEDFDPYVFEMHHRMKVDSPSGT
AKEIAKIVLNNFPNKKKLQYEKLDRKIEPEELHVVSLRAGFRAGFHLVGF
DSEYETIELTHNAKSRKGLQRVQYWLQSGLWKGKVSITLTMFSMRLYQNL
IFKLQYCFSLW</t>
  </si>
  <si>
    <t>ATGAAAATTTCATTGATTGGATATGGCAGAATGGGAAGAGAGGTAAAGAG
TGTAGCAAATGAATTTAACATAAAAGTTGTTTCAATAATCGATCCTTCAG
ATCCTGAAGCTACGCATAGAAAAATCGATGAAGAAGCTTTAAAAGACGCA
GATGTAGCTATTGATTTCACAAGACCTGATGCAGTAGTAAACAATGTTAA
GCTTGTGGCAAAAAACAAAGTAAACATGGTTGTTGGAACAACTGGCTGGT
ATGATAAGCTAAATATAGTTTCAGAGATAGTAAAAGAAAATAATATTGGC
TTAGTTTACGGTTCCAATTTCTCTATAGGAGCTAACGTTTTCTTCAAAAT
CGTAAATTATGCTTCTTCATTATTGGGTAGGATTGAAGACTTTGATCCGT
ATGTTTTTGAAATGCACCATAGAATGAAAGTAGATTCCCCTTCAGGGACA
GCCAAAGAAATTGCAAAAATTGTCCTTAATAATTTTCCCAATAAGAAAAA
GCTTCAATATGAAAAATTAGATAGAAAAATTGAACCAGAAGAACTTCATG
TTGTATCTTTAAGAGCAGGATTTAGAGCTGGTTTCCATTTAGTTGGTTTT
GATAGTGAATATGAAACCATAGAACTTACACATAATGCTAAAAGTAGGAA
AGGATTGCAAAGGGTGCAATATTGGCTGCAAAGTGGATTATGGAAAGGAA
AGGTATCTATAACTTTAACGATGTTTTCGATGAGATTATATCAAAATCTT
ATTTTTAAGTTACAATATTGTTTTAGTTTATGGTAA</t>
  </si>
  <si>
    <t>lys_R07613</t>
  </si>
  <si>
    <t>cren1_8best_scaffolds_00013940</t>
  </si>
  <si>
    <t xml:space="preserve">MVIPSNKLKQFTTYAFYEIDRAKEIAVKKGFKIIDFGVGDPTEPLYEGAI
KALQEGAVKHARSGYPSYIGMKDLREKCSEWIKRRFNVYMDPEEQITITA
GAKEAIFHFPMAFLNDGDEALIPSIGYPPYKAGTVFAGGRPVYYKLKEEN
DFLPDPEEIKKLIKENRNVKLIYLNYPNNPTSKLATRKIYEELVEISNEY
DIILASDECYCEIYFDEKPISILNVTDDYKNIVVFNSLSKRSNATGLRVG
FVYGDKEIIKYFRMLKMQIDSGIPNSIQEAAIAALSDEKHVEDNRELYRM
KHDILIKSLKELNIKYYAESTFYVWARLSENTMETSKNLLELDKEKRIGI
NVTPSKMLSLDPEETLNSYVRFALVPSVEDIQLASELLLKNPWK
</t>
  </si>
  <si>
    <t xml:space="preserve">ATGGTAATTCCTTCCAATAAATTGAAGCAGTTTACTACATATGCATTCTA
CGAAATTGATAGAGCAAAGGAAATAGCTGTAAAGAAAGGTTTCAAAATAA
TTGATTTCGGTGTAGGCGATCCTACAGAACCTCTTTATGAAGGAGCGATA
AAAGCTTTACAGGAGGGAGCTGTAAAGCATGCAAGATCAGGTTATCCTTC
ATATATTGGAATGAAAGATTTAAGAGAGAAATGTTCAGAATGGATAAAAA
GAAGGTTTAATGTTTACATGGATCCTGAAGAACAAATTACAATAACTGCT
GGTGCAAAGGAAGCTATATTCCACTTTCCCATGGCATTTCTTAATGATGG
CGATGAAGCTTTGATTCCATCTATAGGATATCCACCTTATAAGGCCGGTA
CAGTTTTCGCTGGGGGGAGACCAGTTTATTATAAACTTAAAGAGGAAAAT
GACTTCCTTCCAGATCCTGAAGAAATAAAAAAGCTAATTAAAGAAAACAG
GAACGTAAAGTTAATTTATTTAAACTATCCAAATAATCCAACTTCTAAGT
TGGCAACAAGAAAAATTTATGAAGAATTGGTAGAGATTTCCAATGAATAC
GATATAATATTAGCATCGGATGAATGCTATTGTGAGATATATTTTGATGA
AAAGCCAATCTCAATATTAAACGTAACAGATGACTACAAGAACATCGTAG
TTTTTAATTCACTATCAAAAAGAAGCAATGCCACTGGTCTAAGAGTTGGT
TTTGTATATGGCGATAAAGAGATAATAAAATATTTTAGAATGTTAAAAAT
GCAAATAGATTCGGGAATTCCAAATTCAATTCAGGAAGCTGCTATTGCAG
CTTTAAGTGATGAAAAACATGTTGAAGATAATAGAGAACTTTACAGAATG
AAGCATGATATACTGATTAAATCTCTAAAAGAATTAAATATAAAATATTA
CGCTGAATCAACTTTTTATGTTTGGGCAAGACTATCCGAGAATACAATGG
AAACATCGAAGAATTTGCTTGAACTGGATAAAGAGAAAAGGATTGGAATA
AATGTCACACCAAGCAAAATGCTCAGTCTTGATCCAGAAGAGACGCTAAA
TTCTTATGTAAGATTTGCATTGGTACCTAGCGTTGAAGATATCCAATTGG
CTTCTGAATTACTCCTTAAGAATCCATGGAAATAA
</t>
  </si>
  <si>
    <t>2.6.1.83</t>
  </si>
  <si>
    <t>5.1.1.7</t>
  </si>
  <si>
    <t>diaminopimelate epimerase</t>
  </si>
  <si>
    <t>cren1_8best_scaffolds_00013950</t>
  </si>
  <si>
    <t xml:space="preserve">MEIKVVKFHAQGNSYIVIEDLERNLENLYSRIAIILSDKSFGIGSDGILV
FNKSNIAKARMRVFNPDGSEAEISGNGLRIFATYLNSKGILKEEDYVEVG
GNKGGKIAKVKILKDGSVQINLGKGVFLGEIEINVAKRVIKGCKISLGNP
HFVIMCKSKEEAKSMLNEIGSLIENHEAFPNRTNVEFVYVEEENKIISYI
WERGAGATLSSGTGASASAFALYKLNKVGNNVVVEMPGGKINVKIDEEDN
IEIFGKAEKILEGIAYINP
</t>
  </si>
  <si>
    <t>ATGGAAATAAAAGTAGTTAAGTTTCACGCACAAGGCAATAGCTATATTGT
TATCGAAGATTTGGAAAGGAATTTAGAAAATTTGTATTCAAGAATTGCGA
TAATATTATCAGATAAAAGTTTTGGAATAGGTTCTGATGGCATCTTAGTA
TTCAACAAAAGTAATATTGCAAAAGCCAGAATGAGGGTTTTTAATCCAGA
TGGAAGTGAAGCGGAAATCTCAGGAAATGGACTTAGAATATTTGCCACCT
ACTTGAATTCAAAAGGAATTTTAAAAGAAGAAGACTATGTGGAAGTGGGT
GGAAATAAAGGAGGAAAAATCGCTAAGGTTAAAATTCTAAAGGATGGTTC
AGTTCAGATCAATTTAGGAAAAGGAGTATTTTTAGGAGAAATTGAAATAA
ATGTCGCCAAGCGGGTTATAAAGGGATGTAAGATATCATTAGGTAATCCT
CACTTTGTTATCATGTGCAAGAGTAAAGAAGAAGCAAAAAGTATGCTTAA
CGAAATAGGAAGTTTAATAGAGAATCATGAAGCCTTTCCAAATAGAACTA
ATGTGGAATTTGTTTATGTCGAAGAGGAAAATAAAATAATTTCCTATATA
TGGGAAAGAGGTGCTGGTGCCACTCTTTCTTCTGGTACTGGAGCTTCGGC
TTCAGCATTTGCCTTGTATAAATTAAATAAAGTTGGTAATAATGTAGTTG
TTGAAATGCCAGGAGGAAAAATTAACGTAAAAATAGATGAAGAAGATAAT
ATAGAAATATTTGGCAAAGCTGAAAAAATTCTTGAAGGGATAGCTTATAT
AAATCCTTAA</t>
  </si>
  <si>
    <t>diaminopimelate decarboxylase</t>
  </si>
  <si>
    <t>cren1_8best_scaffolds_00013960</t>
  </si>
  <si>
    <t xml:space="preserve">MWWEIKDHLSIVDNKLYIANIQVSEIARRFGTPLFIYNANRVAEKFRFFF
RALKRYIPQTVRIHYSMKANNNPKILEALRYEGSWLDCVSPEEVEYAIEN
GFSPERILFTGVSVSTEDLKKVLGLGVRVNVDSISQIKKISKIRKDIPIS
LRIDPGISGVGHSWRTITAGKEAHNVPIKFSIPLDQIKNAVNIAKEEDLK
IVGIHMHVGSNWKTEEEVKEFLQASRILVKQAKEVENMISDKLEFINFGG
GPGIRYSEKESDFPIETYSKGLSEILNEENYDVQNVAFEPGRYLVGDAGI
LVVKVVDIKERYGDIIVGVDSGFNHLIRPVLYGSYHEIINCDNVNGNDKK
SVTIVGNLCETGDVFAVRREIPMPKEDDILAIHNAGAYGYVMASRYNMRK
LPKEVVIYKSRLTIYEDVYNKRIVMEEII
</t>
  </si>
  <si>
    <t xml:space="preserve">ATGTGGTGGGAAATAAAAGATCATTTAAGCATAGTGGATAACAAATTATA
CATAGCTAACATACAGGTTTCTGAGATTGCTAGGAGATTTGGAACACCTT
TATTTATTTACAATGCAAATAGAGTTGCTGAAAAGTTCAGATTCTTTTTT
AGAGCTTTAAAGAGGTATATTCCACAAACTGTTAGAATACATTATTCAAT
GAAAGCAAACAATAATCCTAAGATACTTGAAGCATTGAGATATGAAGGGT
CATGGCTTGATTGCGTATCTCCTGAAGAAGTTGAATACGCTATAGAAAAC
GGATTCTCTCCTGAAAGAATTCTTTTTACTGGAGTAAGTGTTTCAACTGA
AGATTTAAAGAAGGTATTAGGATTGGGTGTTAGAGTCAATGTTGATTCGA
TTTCGCAAATAAAGAAAATATCAAAGATAAGAAAAGATATTCCGATATCC
TTAAGGATAGATCCTGGAATATCAGGTGTAGGACATAGTTGGAGGACAAT
AACAGCTGGAAAAGAAGCTCATAATGTTCCAATCAAGTTTTCAATTCCAT
TGGATCAAATTAAAAATGCTGTTAATATAGCTAAGGAAGAAGATCTCAAA
ATTGTAGGTATACATATGCATGTCGGTTCTAATTGGAAAACCGAAGAAGA
AGTAAAGGAATTTCTCCAAGCATCAAGAATATTAGTAAAGCAAGCTAAAG
AAGTTGAAAATATGATAAGTGATAAATTAGAATTCATTAACTTTGGCGGA
GGGCCAGGGATAAGATATTCGGAAAAAGAGAGCGATTTTCCTATAGAAAC
GTATTCAAAAGGCTTATCTGAGATTCTAAATGAAGAAAATTATGATGTTC
AAAATGTTGCTTTTGAGCCTGGGAGATACTTGGTTGGTGATGCAGGAATA
CTTGTTGTAAAAGTTGTGGATATAAAGGAAAGATATGGAGATATAATAGT
TGGGGTTGACAGTGGTTTCAATCATTTAATAAGACCCGTCTTATACGGAT
CATACCATGAAATAATAAACTGCGATAACGTAAATGGGAATGATAAGAAG
TCAGTTACGATAGTGGGAAACTTATGTGAGACTGGAGATGTATTTGCTGT
TAGAAGGGAGATTCCCATGCCTAAAGAGGATGATATTCTTGCGATTCACA
ATGCAGGTGCCTATGGTTATGTTATGGCTTCAAGATATAATATGAGAAAG
CTTCCCAAGGAAGTTGTTATATACAAGTCAAGGTTAACAATATACGAAGA
TGTTTATAATAAAAGGATAGTTATGGAGGAAATTATTTAG
</t>
  </si>
  <si>
    <t>4.1.1.20</t>
  </si>
  <si>
    <t>2.5.1.54</t>
  </si>
  <si>
    <t>4.2.3.4</t>
  </si>
  <si>
    <t>4.2.1.10</t>
  </si>
  <si>
    <t>1.1.1.25</t>
  </si>
  <si>
    <t>2.7.1.71</t>
  </si>
  <si>
    <t>2.5.1.19</t>
  </si>
  <si>
    <t>4.2.3.5</t>
  </si>
  <si>
    <t>phospho-2-dehydro-3-deoxyheptonate aldolase</t>
  </si>
  <si>
    <t>cren1_8best_scaffolds_00002970</t>
  </si>
  <si>
    <t xml:space="preserve">LVDKDGKEKTIIKVNNVEIGKRPVVIAGPCSVENRDQIIQTALFVKKSGA
HMLRGGAFKPRTSPYSFQGLQYEGLKLLKEASEISGLPIVTEILDVRDLN
LFLEYADVIQVGARNMQNFPLLKELGKIDKPILLKRGFGCTIEELLYAAE
YILSGGNSKVILCERGIRTFETSTRFTLDINAVPLLKEITHLPIIVDPSH
AAGKRSLVPPLAKAALAAGADGIIVEVHPNPDAALSDGPQSMNFEQFEKL
MEDLRKWNLI
</t>
  </si>
  <si>
    <t>TTGGTTGATAAAGACGGCAAAGAAAAGACAATAATCAAAGTTAATAATGT
AGAAATAGGCAAAAGACCAGTAGTTATTGCAGGTCCTTGTTCGGTTGAAA
ATAGGGATCAAATAATACAAACAGCTCTTTTTGTTAAAAAAAGTGGGGCA
CATATGTTAAGGGGTGGAGCCTTTAAGCCTAGAACATCGCCTTATTCTTT
CCAAGGATTACAATATGAAGGATTGAAGCTTTTAAAGGAAGCTTCAGAAA
TATCGGGGTTGCCAATAGTAACTGAAATACTAGATGTTAGAGATCTGAAT
TTGTTTCTAGAATATGCCGATGTTATTCAAGTAGGAGCAAGGAATATGCA
AAACTTTCCTCTTCTAAAAGAGCTTGGAAAAATAGATAAACCAATTTTGC
TTAAAAGAGGTTTTGGATGTACAATAGAAGAATTGCTTTATGCTGCTGAA
TATATTCTCAGTGGAGGAAATTCAAAAGTAATTCTATGCGAGAGAGGAAT
TAGAACTTTTGAAACTTCAACAAGATTCACTCTTGATATAAATGCTGTTC
CATTGCTTAAAGAAATTACCCACCTTCCCATAATTGTGGATCCAAGTCAT
GCAGCGGGCAAAAGATCATTAGTTCCTCCTTTAGCTAAAGCAGCGCTTGC
TGCAGGAGCTGATGGAATAATAGTAGAAGTTCATCCAAATCCAGATGCAG
CTTTATCAGACGGTCCTCAAAGTATGAATTTTGAACAGTTTGAAAAGCTT
ATGGAGGATTTGAGAAAATGGAATTTAATTTGA</t>
  </si>
  <si>
    <t>3-dehydroquinate synthase</t>
  </si>
  <si>
    <t>cren1_8best_scaffolds_00002960</t>
  </si>
  <si>
    <t>MEFNLNLNKSISSKILVSENARKEIVKILSSSSYFNLAVLADESVYDLWI
SSERNDFLEIKSNVHVFIPGKGEDIKSIEKYERISSALLKAGIERDSLIL
AIGGGALTDFAGFIASTYMRGIDLVTVPTTLLAQVDAAIGGKNGINLIIK
NAIGTFYLPNYVIIDPIFIETLPFEEYLNGLAEIIKYYVIKGGIFKNIFE
NNLYLVKERDKNILLKLIEESVETKLQVVKKDFEEKNERMILNFGHTIGH
AIESLSEYKIKHGTAISYGFIVESIIANSVLGFPFEDINFILDLINNLGF
RFNFRFNEDDIIRTLILDKKRRKGKIMMALPSKIGNFEIVEVSKESIKEA
VVKANLLIQKC</t>
  </si>
  <si>
    <t>ATGGAATTTAATTTGAATTTAAATAAAAGTATTTCTTCAAAGATATTAGT
TTCTGAAAATGCTAGGAAAGAGATTGTGAAAATTCTTTCAAGTTCCTCTT
ATTTCAACTTAGCAGTTTTAGCTGACGAATCGGTTTACGATTTGTGGATT
TCTAGCGAAAGAAACGACTTCCTAGAAATAAAAAGCAACGTTCACGTTTT
TATTCCTGGAAAGGGTGAAGATATAAAGAGCATCGAAAAGTATGAAAGGA
TATCCTCTGCACTATTAAAAGCGGGAATTGAAAGGGATTCATTAATTTTA
GCCATAGGAGGTGGAGCATTGACAGATTTTGCAGGCTTTATAGCTTCAAC
TTATATGAGGGGAATTGACTTGGTTACAGTTCCAACAACCTTACTTGCAC
AGGTTGATGCAGCCATAGGAGGAAAGAATGGAATTAATCTTATCATAAAA
AACGCTATAGGAACTTTTTATTTACCAAATTACGTTATTATAGATCCAAT
ATTTATAGAAACTCTTCCTTTTGAAGAGTATTTAAACGGTCTAGCAGAAA
TCATAAAGTATTACGTAATTAAAGGAGGAATTTTCAAGAATATTTTTGAA
AATAATTTATATCTTGTTAAAGAAAGAGACAAAAATATTTTGTTAAAGCT
TATCGAAGAATCTGTAGAAACAAAGTTGCAAGTTGTTAAGAAAGACTTTG
AAGAAAAAAATGAAAGAATGATACTTAATTTTGGTCATACTATAGGACAT
GCAATTGAAAGCTTAAGCGAGTATAAAATAAAGCATGGAACTGCTATTTC
TTATGGTTTTATTGTCGAATCTATAATAGCAAATTCAGTACTTGGTTTCC
CGTTTGAGGATATTAATTTCATACTTGATTTGATTAACAATTTAGGTTTC
AGATTTAACTTCAGATTCAATGAGGATGATATAATAAGAACGCTTATTTT
AGATAAAAAAAGAAGGAAAGGGAAAATCATGATGGCTTTACCCTCAAAAA
TAGGCAATTTTGAAATAGTTGAAGTTTCAAAAGAATCGATAAAGGAAGCA
GTTGTAAAAGCAAATTTGCTTATTCAAAAATGTTAA</t>
  </si>
  <si>
    <t>phe_tyr_trp_R03084</t>
  </si>
  <si>
    <t>3-dehydroquinate dehydratase</t>
  </si>
  <si>
    <t>cren1_8best_scaffolds_00018300</t>
  </si>
  <si>
    <t>MLKRLELSNPRKIGKLTLGKEILFCAPVTKINSKVERKILQYSKNGEVDI
YEVRYDYFVSKNVKISKILEFFKSNQVPYIFTFRSKEEGGKSHSTDKDRI
AVFYEALDYEPAMVDIEYKSLSKNEEFKSLVKEIKKASALILSYHNFYTT
LNLRNLKEIAVSCFKENPDVIKIATLNRTFKDLLILMQLSYWMRKTFKIP
QVVIGMGRIGAISRIMTSLLGSDIIYVKLFERTAKGQPNIEQIKLLFKIL
ESL</t>
  </si>
  <si>
    <t>ATGCTTAAGAGATTAGAACTTTCAAATCCAAGAAAGATTGGAAAGTTAAC
GTTAGGTAAAGAAATATTGTTTTGTGCACCTGTTACAAAAATCAATAGTA
AGGTTGAAAGGAAAATCTTACAATATTCAAAAAATGGCGAGGTAGACATA
TACGAGGTAAGATATGATTACTTTGTTTCAAAAAATGTAAAGATTTCCAA
GATTTTAGAATTTTTTAAAAGCAATCAAGTTCCATATATATTTACGTTCA
GGAGTAAAGAAGAAGGAGGAAAATCACATTCAACGGATAAAGATAGAATA
GCCGTGTTTTATGAAGCATTAGATTACGAGCCTGCTATGGTTGATATAGA
ATATAAATCATTAAGTAAAAATGAAGAATTTAAATCCCTTGTCAAGGAAA
TTAAAAAAGCGTCGGCTTTAATACTATCGTATCACAATTTCTACACTACG
TTAAATTTAAGAAATTTGAAAGAAATAGCAGTTTCATGCTTCAAAGAAAA
TCCTGATGTAATAAAAATAGCAACATTAAATAGAACCTTTAAAGATCTTC
TTATCCTAATGCAGCTTTCTTATTGGATGAGAAAAACCTTTAAAATTCCT
CAAGTTGTGATAGGAATGGGAAGGATTGGAGCAATTTCTAGAATTATGAC
GTCATTATTGGGTTCGGATATAATATATGTAAAGTTATTTGAAAGAACAG
CAAAGGGGCAACCTAATATAGAACAAATTAAATTGCTCTTTAAGATTTTA
GAAAGTCTCTAA</t>
  </si>
  <si>
    <t>shikimate 5-dehydrogenase</t>
  </si>
  <si>
    <t>cren1_8best_scaffolds_00002950</t>
  </si>
  <si>
    <t>MLKFALIGNPLIHSIGKRVYSELFKFLKLEASYEHFEIRDEEISNTVSYF
KLNSYKGFNVTIPFKSKIVKFLDELESDAKVVGAVNNVCIDNNKLLGFNT
DILGIKNSLKRFNVNKIENACIIGAGGSAKAALFAIKDIAKNVYVLNRSY
EKAIELVNLFKGYYSSIKAFPLNSEEAMKTISKGDLIINCTPVGMYPNIN
SSPINNSLISNNATVIDLVYNPVNTNLISYAKSLGCRVIDGLWIYVYQLI
ENLKIWIGIEMDADFVRNICTKFIK</t>
  </si>
  <si>
    <t>ATGTTAAAATTCGCTTTAATTGGGAATCCTTTGATACATTCTATAGGGAA
AAGAGTTTATTCAGAGCTGTTTAAATTTTTAAAATTAGAAGCAAGTTATG
AACATTTTGAAATAAGAGACGAGGAAATTTCTAATACCGTAAGTTACTTT
AAGTTGAATAGCTACAAAGGTTTCAATGTTACTATTCCTTTTAAGAGTAA
AATAGTAAAGTTTTTGGATGAATTGGAAAGTGATGCTAAAGTTGTTGGGG
CAGTTAATAATGTATGTATAGATAACAATAAACTATTAGGCTTCAATACG
GATATACTAGGAATAAAGAATTCTCTAAAAAGGTTTAACGTAAATAAAAT
AGAAAATGCTTGTATAATAGGCGCAGGTGGTTCAGCTAAAGCTGCTCTAT
TTGCTATTAAGGACATTGCTAAGAATGTTTATGTCTTAAATAGAAGTTAT
GAGAAGGCCATTGAACTTGTAAACTTGTTCAAGGGCTATTATTCTAGCAT
TAAAGCTTTCCCTTTGAATAGCGAAGAAGCGATGAAAACGATAAGCAAAG
GTGATTTAATAATAAACTGCACACCTGTTGGAATGTATCCAAATATTAAT
TCATCCCCCATAAACAATAGTCTAATAAGCAACAACGCAACAGTTATTGA
TTTGGTTTACAATCCTGTTAATACAAATTTAATATCGTACGCAAAAAGCT
TAGGATGCAGGGTAATCGATGGATTATGGATTTATGTTTATCAACTAATT
GAAAACTTAAAAATTTGGATTGGTATTGAGATGGATGCTGATTTTGTGAG
AAATATTTGCACAAAGTTTATAAAATGA</t>
  </si>
  <si>
    <t>shikimate kinase</t>
  </si>
  <si>
    <t>cren1_8best_scaffolds_00002940</t>
  </si>
  <si>
    <t>MSSKATTFGAISVLNGIFNGIGCSLAVNLKVKVEVETIEEPEVITTIEIK
NENRKVDLKLVNSCYNLVKNKFEYNGGFRIKIYSEIPFSRGLKSSSAVGN
ALIKAMTDAIGIKLGNFDIARLCVEACKAAGVTVTGAFDDACATINGGLF
LVDNYSLRIISSYEVGLYKVIIGFTDSIREKASINPDKFKLLSNLAFYAC
KLIMKGKWLNAMNINAFLSCAALNDSLKPIILAIERGALASTLSGTGPSV
VAISDNPDPIAEIWKEFGMNVIITETLGSKSWN</t>
  </si>
  <si>
    <t>ATGAGCTCAAAAGCAACTACTTTTGGAGCAATATCAGTTTTGAACGGCAT
ATTTAACGGAATTGGATGTTCTTTAGCTGTTAATTTGAAGGTTAAAGTTG
AAGTTGAAACAATAGAAGAACCTGAAGTTATTACCACAATTGAAATTAAA
AACGAGAACAGAAAAGTTGATCTGAAGCTTGTTAATTCGTGTTATAACTT
AGTTAAGAATAAGTTCGAATACAATGGCGGTTTTAGAATCAAAATATATT
CAGAAATTCCATTTTCAAGAGGACTTAAAAGTAGTAGTGCTGTTGGAAAT
GCTTTAATTAAAGCTATGACAGATGCAATAGGAATAAAGCTCGGAAATTT
CGATATAGCTAGGCTTTGTGTTGAAGCTTGCAAGGCTGCTGGAGTTACTG
TTACGGGAGCTTTTGATGATGCATGTGCAACAATTAACGGTGGATTGTTT
TTAGTGGATAACTATTCGCTCAGAATTATATCCAGCTATGAAGTTGGTTT
GTATAAAGTAATAATTGGTTTTACCGATTCTATAAGGGAAAAAGCTAGCA
TAAATCCAGATAAATTTAAACTTTTGAGTAATTTAGCATTCTATGCTTGC
AAACTTATAATGAAAGGGAAGTGGCTAAACGCAATGAATATAAATGCATT
CTTATCGTGTGCAGCTCTTAATGATAGTTTGAAGCCTATAATTCTTGCTA
TAGAAAGAGGTGCTTTAGCTTCAACCTTATCGGGGACAGGGCCTTCTGTT
GTAGCGATATCCGACAATCCAGATCCTATAGCTGAAATATGGAAAGAATT
CGGCATGAACGTTATAATAACGGAAACTTTGGGGTCTAAGTCGTGGAATT
GA</t>
  </si>
  <si>
    <t>3-phosphoshikimate 1-carboxyvinyltransferase</t>
  </si>
  <si>
    <t>cren1_8best_scaffolds_00002930</t>
  </si>
  <si>
    <t>VELIIIPPERVEGEITPPSSKSYTHRAVFLSLLCNGTTTINNLLISSDTN
ATLRAFKLFGGKISENKFLGKGLPSSTSKIIDCKNSGTTLRIACSVAALA
KGITILSGSKSLCKRPIWPLESALNSLGIETISKEGFPPIAIKGGKIKNN
EVNILGNISSQYISGLLIISPKIGLKINVIGDLVSETYVKLTIKMMNEFS
VEVNHENNSFYVEKQDYKPTEINIPADLSSASFFIAAGLLKGKVKLWNTF
KDPYQADSEFIDIVKRMNGRIYEGENYIEAQESNLEATEINCKNCPDSVP
ILSVIAAKAKGTTRIKGIEHLRYKESNRIETVAFNLRRLGVEVKTDNDYI
EIKGKEEFKSATFQSFGDHRIAMAFSIASLVAKDSCIIKGIECIKDSYPN
FLSDLLKVGVKYHVG</t>
  </si>
  <si>
    <t>GTGGAATTGATTATAATTCCTCCTGAAAGAGTAGAGGGAGAGATAACACC
TCCATCATCAAAAAGTTATACACATAGAGCTGTTTTCCTATCTTTACTTT
GCAATGGTACAACTACTATAAATAACCTGCTAATAAGTTCAGATACAAAT
GCAACTTTAAGAGCTTTCAAGCTATTTGGTGGTAAAATATCTGAAAATAA
ATTTTTAGGAAAAGGATTACCTTCAAGCACATCTAAAATTATTGACTGTA
AAAACTCCGGCACAACTTTAAGAATTGCGTGTTCAGTCGCAGCGCTAGCT
AAAGGAATAACAATACTTAGCGGAAGCAAATCCTTGTGTAAAAGGCCTAT
TTGGCCATTGGAATCTGCTCTTAATAGCTTAGGAATTGAGACAATTTCAA
AAGAAGGTTTCCCACCTATCGCTATAAAGGGCGGTAAGATAAAAAACAAT
GAAGTAAATATTTTAGGTAACATATCTTCGCAGTATATTTCAGGTCTCCT
AATTATATCTCCAAAAATTGGCCTTAAAATCAACGTAATAGGCGATCTTG
TTTCTGAGACCTACGTAAAACTTACAATTAAAATGATGAATGAATTTTCA
GTAGAAGTGAATCATGAAAATAATAGCTTCTATGTTGAAAAGCAAGATTA
TAAGCCAACTGAAATTAACATTCCTGCAGACTTATCATCAGCCTCATTTT
TTATAGCTGCAGGATTGCTCAAAGGTAAAGTAAAACTTTGGAATACTTTC
AAAGATCCATATCAGGCCGATAGTGAATTCATTGATATAGTTAAAAGAAT
GAATGGAAGAATTTACGAGGGTGAAAATTACATTGAAGCCCAAGAATCCA
ATTTGGAAGCTACAGAAATTAATTGCAAAAATTGTCCAGATTCTGTTCCA
ATTCTTTCAGTAATCGCAGCTAAAGCAAAAGGAACAACTAGGATAAAAGG
AATTGAACATTTAAGATATAAAGAAAGCAATAGAATAGAGACTGTGGCTT
TCAATTTGAGAAGATTAGGGGTTGAAGTTAAAACGGATAATGATTACATT
GAAATAAAAGGGAAAGAAGAATTCAAAAGTGCTACTTTTCAAAGCTTTGG
AGATCATCGTATTGCAATGGCGTTTTCTATAGCTTCACTAGTTGCAAAAG
ATTCATGTATAATTAAAGGCATCGAATGCATTAAGGATTCATATCCTAAT
TTCCTTTCAGATCTTTTAAAAGTAGGTGTGAAATACCATGTTGGGTAA</t>
  </si>
  <si>
    <t>chorismate synthase</t>
  </si>
  <si>
    <t>cren1_8best_scaffolds_00002920</t>
  </si>
  <si>
    <t xml:space="preserve">MLGKLFQVSFFGESHGKCVGVIIEGCPPGIKVSIEEINSELEKRKPGSSI
YVSPRKEEDKVEILSGIFNNFTTGFPVSLVVYNKDVVSSFYEKIRNTPRP
SHADYVATIKYFGYNDYRGGGIFSGRLTLPMVIAGYFAKKILNKYGIEIY
SYLKSVGPYECNPSIEEVKENTYKSPLRFPDLSKIEEIEKYLIDIIKEGD
TVGGIIETIALNLPVGLGEPPIDTLDGDLAKALFAIPAVKGVEFGSGFKL
AKMKGSEANDPYAIKDGKIINLKNNSGGILGGISNGMPLIHRVVLKPASS
IRKKQKTVDLEKMEETEIVVEGRHDPCIAIRAVPVVESVTAIVLADHLLR
WLSWKKLLEK
</t>
  </si>
  <si>
    <t>ATGTTGGGTAAACTATTTCAGGTATCTTTTTTTGGAGAAAGCCATGGAAA
ATGTGTAGGGGTAATTATAGAAGGTTGTCCTCCTGGTATTAAGGTAAGCA
TCGAAGAAATTAATTCTGAATTGGAAAAAAGAAAGCCAGGAAGTTCAATC
TATGTCTCTCCTAGAAAAGAGGAAGACAAGGTAGAAATATTGAGTGGAAT
ATTTAATAACTTTACAACAGGATTCCCTGTTTCTTTAGTAGTATACAACA
AGGATGTTGTTTCATCCTTCTATGAAAAAATTCGTAATACTCCAAGACCA
AGTCACGCTGATTATGTTGCAACGATTAAATACTTTGGTTATAATGATTA
CAGGGGCGGTGGCATCTTTTCTGGAAGACTAACTTTACCTATGGTAATAG
CTGGTTATTTTGCAAAGAAGATCTTGAACAAATACGGGATAGAAATATAT
TCTTATTTGAAATCTGTAGGTCCTTATGAATGCAATCCTTCAATTGAGGA
AGTTAAGGAGAATACTTATAAAAGTCCTTTAAGATTTCCAGATCTTTCAA
AAATCGAAGAAATTGAAAAATATCTTATTGATATAATAAAGGAAGGCGAT
ACAGTAGGGGGAATAATTGAAACAATTGCTCTTAATTTGCCTGTTGGATT
AGGAGAGCCTCCAATAGATACTTTAGATGGAGATTTAGCAAAAGCTTTAT
TTGCAATCCCGGCTGTTAAAGGAGTTGAGTTTGGTTCAGGCTTTAAATTA
GCAAAAATGAAAGGAAGCGAAGCAAACGATCCTTACGCAATAAAGGATGG
TAAAATTATTAATTTAAAAAACAATTCAGGTGGAATATTGGGAGGAATAA
GTAATGGAATGCCTCTTATTCATAGGGTAGTATTAAAGCCTGCATCTTCT
ATAAGAAAAAAACAAAAAACAGTAGATTTGGAAAAAATGGAGGAAACCGA
AATAGTTGTTGAAGGAAGGCATGATCCATGTATAGCAATACGGGCTGTTC
CAGTCGTTGAATCTGTAACTGCTATAGTTTTAGCTGATCATCTACTCAGG
TGGTTATCTTGGAAGAAACTATTGGAGAAATAA</t>
  </si>
  <si>
    <t>glutamine amidotransferase of anthranilate synthase or aminodeoxychorismate synthase</t>
  </si>
  <si>
    <t>cren1_8best_scaffolds_00003050</t>
  </si>
  <si>
    <t xml:space="preserve">MKILLIDNYDSFVYNLYQAIGKYERDITVKRNDQLSIDEIEGYDAVVLSP
GPGDPRRNFKIGIGLEMIKQFYSSKPILGVCLGHQEICYALGGKIRRANR
IVHGKKSLIKHFGSVLFEGVPEKFTAGRYHSLVVYHLPNELKLTAISIED
HEIMAVEHISYPVFGLQFHPESILTTKGELIIFNFLRVCKK
</t>
  </si>
  <si>
    <t>ATGAAAATTCTTCTCATAGATAATTACGATTCTTTTGTTTATAATTTATA
TCAGGCTATAGGAAAATATGAAAGAGATATAACAGTAAAAAGAAACGATC
AATTAAGCATAGACGAAATTGAAGGGTACGATGCAGTAGTGTTATCTCCT
GGGCCAGGCGATCCTAGAAGGAACTTCAAAATAGGTATTGGATTGGAAAT
GATTAAGCAATTTTACAGTTCAAAGCCTATTTTAGGCGTATGCTTAGGTC
ATCAGGAAATTTGCTACGCTCTTGGGGGTAAGATAAGAAGGGCAAATAGA
ATTGTTCACGGTAAAAAAAGTTTAATCAAACATTTCGGTTCAGTTCTATT
TGAAGGTGTTCCAGAAAAATTTACTGCAGGAAGATATCATTCCCTAGTTG
TTTATCATCTTCCTAATGAACTAAAATTGACTGCAATAAGTATAGAAGAT
CATGAAATAATGGCTGTGGAACATATAAGTTATCCAGTTTTTGGTTTACA
GTTCCATCCTGAATCGATATTAACAACGAAAGGCGAACTCATTATTTTCA
ATTTCTTGAGGGTTTGTAAAAAATGA</t>
  </si>
  <si>
    <t>4.1.3.27</t>
  </si>
  <si>
    <t>2.4.2.18</t>
  </si>
  <si>
    <t>5.3.1.24</t>
  </si>
  <si>
    <t>4.1.1.48</t>
  </si>
  <si>
    <t>4.2.1.20</t>
  </si>
  <si>
    <t>anthranilate phosphoribosyltransferase</t>
  </si>
  <si>
    <t>cren1_8best_scaffolds_00003040</t>
  </si>
  <si>
    <t>MIKEAIIKLTERKDLTFDEVQTVMNEIVNNQASPSQIAAFLTALKMKGET
PSEIVSFARILKSLCLKLQHSFNDLVDTAGTGGDKVKTFNVSTATAFVLA
ASNIKVAKHGNRAVTGNSGSADVLEELGINIYLGPKEALECLERINLCFL
FAPLYHTATKNVATVRKEIGIKTIFNILGPLTNPANVNRQVVGVYEPSLV
YTIANALKSLNVKKACVVHGLEGIDEFSISSNNLIAFIEEGEIDFSIFDI
TEIGYKKFNTSDLICNSPKESAKVIYDILSGKESLEAPKSLFLKFNAALG
FIVAGKARDLKEGIQIAEETIKSGKPFEILKEFVVLSKGNIDKFESFEKN
V</t>
  </si>
  <si>
    <t>ATGATAAAAGAAGCAATAATAAAGTTAACGGAAAGAAAGGATTTAACATT
CGATGAAGTTCAAACAGTGATGAATGAGATTGTAAACAATCAAGCATCTC
CTTCACAGATAGCAGCTTTTCTAACAGCTTTGAAGATGAAAGGAGAAACA
CCATCCGAAATAGTTTCTTTTGCAAGAATCCTAAAAAGTTTATGTTTAAA
ATTACAACATAGCTTTAACGATTTGGTCGATACAGCAGGCACAGGAGGCG
ATAAGGTTAAAACATTTAACGTAAGCACAGCCACAGCGTTTGTCTTAGCT
GCTTCAAATATTAAAGTTGCAAAGCACGGTAATAGAGCTGTTACAGGTAA
TAGCGGAAGCGCTGATGTTCTTGAAGAATTGGGAATAAACATTTATTTAG
GGCCTAAAGAAGCTTTGGAATGTTTAGAAAGAATAAATTTGTGTTTTTTA
TTTGCACCTCTTTATCATACCGCTACAAAGAATGTAGCAACAGTAAGGAA
GGAAATAGGCATAAAAACGATTTTCAATATTCTAGGGCCTCTTACCAATC
CAGCAAATGTTAACAGACAGGTGGTGGGCGTGTATGAACCTAGTCTTGTT
TATACAATTGCCAACGCACTCAAATCTTTGAACGTGAAAAAGGCATGTGT
TGTCCATGGATTAGAAGGTATTGATGAATTCTCAATTTCTTCAAACAACT
TAATTGCGTTTATTGAAGAAGGTGAGATTGATTTTTCAATATTTGATATA
ACTGAAATTGGTTATAAGAAATTTAATACTTCAGATTTAATATGCAATTC
TCCGAAAGAAAGCGCAAAAGTAATTTATGATATATTATCAGGCAAAGAAA
GTTTAGAGGCTCCTAAATCTCTATTTCTTAAATTTAATGCAGCTTTAGGC
TTTATAGTAGCAGGCAAAGCTAGAGATTTAAAGGAGGGTATTCAAATTGC
TGAAGAAACAATTAAAAGCGGAAAACCCTTTGAAATCTTAAAGGAATTTG
TAGTTCTCTCGAAAGGAAATATAGATAAATTTGAAAGCTTCGAAAAAAAT
GTATAA</t>
  </si>
  <si>
    <t>Phosphoribosylanthranilate isomerase</t>
  </si>
  <si>
    <t>cren1_8best_scaffolds_00003020</t>
  </si>
  <si>
    <t xml:space="preserve">MIRIKICGNKRVEDMHIAAKLGAHALGFIFNIPSSPRNNTFEEAKNLVAN
SPSLIDLIPVTTSENIHEVLKFGIRTIQTIGNIKEIFKLKKNYQELNLIP
VLYVREELPDEGTLKICSEFKAIVIDTKSEKHLGGSGIVHDWNISRKISK
ELGNVILAGGLNEKNVVEAITKVEPYGVDVSSGVESRPGVKDPVKMRKFI
EAVMKYR
</t>
  </si>
  <si>
    <t xml:space="preserve">ATGATTAGGATAAAAATATGCGGAAATAAAAGAGTAGAAGATATGCATAT
TGCAGCTAAACTAGGCGCACATGCATTAGGCTTCATATTTAATATTCCTT
CATCTCCTAGGAATAATACATTCGAAGAAGCAAAGAATCTAGTTGCAAAT
TCGCCTTCTTTGATTGATTTGATTCCTGTAACAACTTCAGAGAATATACA
TGAAGTGTTAAAGTTTGGAATTAGAACAATTCAAACAATAGGAAACATAA
AGGAAATATTCAAATTGAAAAAGAATTATCAAGAATTGAATTTAATTCCC
GTTTTATATGTAAGAGAAGAACTTCCAGATGAAGGGACTCTTAAAATTTG
TTCAGAATTTAAAGCTATTGTGATAGATACGAAAAGTGAAAAACATCTAG
GAGGCTCGGGAATAGTTCATGATTGGAATATTTCAAGAAAAATTAGCAAA
GAATTAGGTAATGTAATCCTGGCAGGAGGTCTTAATGAGAAAAATGTTGT
AGAGGCAATAACAAAAGTTGAGCCTTACGGTGTCGATGTTTCAAGTGGTG
TTGAATCTAGGCCAGGAGTGAAAGACCCTGTAAAGATGAGAAAATTTATT
GAAGCGGTGATGAAATATAGATAA
</t>
  </si>
  <si>
    <t>Indole-3-glycerol phosphate synthase</t>
  </si>
  <si>
    <t>cren1_8best_scaffolds_00003030</t>
  </si>
  <si>
    <t>LKASKKMYNFLIKAVESIKSLLKEGYYDLNSSVEREGFSLKDFLKEDSFR
IIVELKKKSPSSGIIKNTIEDKLPFNLVENGAKGLSFLIERNYFDGSIEY
LQKISSKINVPILFKDFVIHKKQVEAAKRAGADIILLIAEIFELGISIHG
FRELIDYSHHLGLETIVETNNVEIANRLMDTEADYVGINNRDLKTLEINP
DHFYNISSKIIKRKPLVAESGYSSNKQIIRDKKAGADFFLIGTCIMSATD
PVEKLRELLKYD</t>
  </si>
  <si>
    <t>TTGAAAGCTTCGAAAAAAATGTATAACTTCTTAATAAAAGCAGTGGAAAG
TATAAAATCTTTACTAAAAGAAGGATACTATGACTTAAATTCAAGCGTTG
AAAGGGAAGGATTTTCGCTTAAGGACTTCTTAAAAGAAGATTCCTTTAGA
ATCATAGTTGAATTGAAAAAGAAATCTCCTTCATCTGGCATAATTAAAAA
TACAATAGAGGATAAATTGCCTTTTAATTTGGTTGAAAATGGAGCAAAAG
GTTTATCATTCTTGATTGAAAGAAATTACTTTGATGGTTCCATTGAGTAT
TTGCAAAAGATATCAAGCAAAATAAATGTTCCTATACTTTTCAAAGATTT
TGTAATTCATAAGAAGCAAGTAGAAGCTGCTAAAAGAGCAGGAGCGGATA
TAATTCTACTTATAGCGGAAATCTTTGAATTAGGAATATCTATACATGGC
TTTAGAGAGTTGATTGATTATTCACATCACTTAGGTTTAGAAACAATTGT
TGAGACGAATAACGTTGAAATTGCAAACAGATTAATGGATACAGAAGCTG
ACTATGTAGGAATAAACAATAGAGACTTAAAGACTTTGGAAATAAATCCT
GATCACTTTTACAATATATCTTCAAAAATAATTAAGAGAAAACCTTTAGT
TGCTGAGAGCGGTTATTCTAGCAATAAACAAATTATTCGAGATAAAAAAG
CAGGAGCTGATTTCTTTCTTATAGGAACATGTATAATGTCAGCAACAGAT
CCTGTAGAAAAACTGAGGGAGTTGTTAAAATATGATTAG</t>
  </si>
  <si>
    <t>tryptophan synthase, alpha subunit</t>
  </si>
  <si>
    <t>cren1_8best_scaffolds_00003000</t>
  </si>
  <si>
    <t xml:space="preserve">MREKLFDSKRSALICYIIPGYPDYETSLKLARILLENGADALELGVPFSD
PIADGITIQKASYKALISGINLKEVIKFARILRKEYSAPIYLMSYLNPLF
KYGYEKVAEEMRDSEINGAIIPDLPVDLFDDWYRICEKFNLETVLLCSPS
TSLKRIKMIESKTTGFIYLVSIFGVTGAREYFPEYTFNFIAKVSKNTRKP
IVVGFGISNPLQVKEIMKYDVDGIVVGSAILRYFEKGNGSDTFDKIKVFL
KEIKKSL
</t>
  </si>
  <si>
    <t>ATGAGAGAAAAGTTATTCGATTCTAAAAGGTCAGCTTTGATTTGCTATAT
TATTCCGGGTTATCCTGATTATGAAACAAGTCTAAAACTAGCAAGAATCT
TGTTAGAAAATGGTGCAGACGCTTTAGAGCTAGGTGTTCCCTTTTCTGAT
CCCATAGCTGATGGAATAACAATTCAGAAAGCATCTTATAAAGCATTGAT
TAGTGGAATAAACTTAAAGGAAGTTATAAAATTCGCTAGAATATTAAGGA
AAGAATATTCTGCTCCAATTTATCTCATGAGTTACCTAAATCCCTTATTT
AAATATGGTTATGAAAAAGTTGCTGAAGAAATGAGAGATTCTGAAATTAA
TGGAGCAATCATTCCTGATTTACCTGTTGATCTTTTTGATGACTGGTATA
GAATATGTGAAAAATTCAATTTAGAAACAGTTTTATTATGTTCCCCTTCA
ACAAGCTTGAAAAGAATTAAAATGATAGAAAGCAAAACTACTGGTTTTAT
TTATCTAGTTTCAATTTTCGGGGTTACTGGAGCAAGAGAGTATTTTCCTG
AATATACTTTTAATTTTATTGCTAAAGTTAGTAAAAATACAAGAAAACCT
ATCGTAGTAGGCTTTGGAATATCTAATCCTTTACAAGTAAAGGAAATTAT
GAAATACGATGTGGATGGAATAGTTGTAGGAAGTGCAATATTAAGATATT
TTGAAAAAGGAAACGGAAGTGATACCTTTGATAAAATAAAAGTTTTCCTT
AAAGAAATTAAAAAATCACTCTAG</t>
  </si>
  <si>
    <t>tryptophan synthase, beta subunit</t>
  </si>
  <si>
    <t>cren1_8best_scaffolds_00003010</t>
  </si>
  <si>
    <t xml:space="preserve">LVKVLDDLWKGFKKAIKSEEFLNEYQNYLKDYAGRPTPLYYARNLSNKIG
GARIFLKREDLLHGGAHKINNAIGQALLAKSMGKTRLIAETGAGQHGVAV
AMAAAALNMKAEIYMGSEDAERQKINLQRMKILGAKVNIIESGSRTLKDA
INEAIRDWIANFEDTHYLLGSVVGPHPYPSIVKYFQSIIGKETKKQCVEK
IGRLPDYIVACVGGGSNAIGIFSSFINTKVALIGVQAAGKGIETGYHAAP
LIAGSIGILHGMKTYVLQDENGQIKTTYSIAPGLDYPAVGPEHSYLKDTK
RVEYVSVKDEEAIEAFEILSKTEGIIPALEPSHALAYAIKLARNLSKDKV
IIVNLSGRGDKDIDSYLKFKGISL
</t>
  </si>
  <si>
    <t xml:space="preserve">TTGGTAAAAGTATTAGATGATCTATGGAAAGGTTTCAAGAAGGCCATTAA
GTCTGAAGAATTTTTGAATGAATATCAAAACTATCTGAAGGATTATGCAG
GAAGACCAACTCCATTGTATTATGCAAGGAACTTATCAAACAAAATAGGT
GGAGCGAGAATATTTTTGAAAAGAGAGGATCTTTTGCATGGCGGGGCTCA
TAAAATAAACAATGCAATAGGACAAGCACTATTGGCAAAGAGCATGGGTA
AAACTAGACTCATAGCTGAAACAGGAGCTGGACAACATGGAGTTGCTGTT
GCAATGGCGGCTGCAGCCTTGAATATGAAGGCTGAAATATATATGGGTTC
TGAAGATGCGGAAAGACAAAAAATAAACTTGCAAAGGATGAAAATACTTG
GAGCTAAAGTAAATATTATTGAATCTGGAAGTAGGACTTTAAAAGATGCA
ATTAACGAAGCAATAAGAGATTGGATAGCAAACTTTGAAGATACACATTA
TTTGCTTGGTTCAGTAGTTGGTCCACATCCATATCCATCAATCGTTAAAT
ATTTCCAAAGCATAATAGGCAAAGAAACAAAGAAGCAATGCGTTGAGAAA
ATAGGTAGGTTACCTGATTACATAGTTGCTTGTGTAGGCGGAGGCAGCAA
TGCGATCGGCATATTTAGTTCGTTTATAAATACTAAAGTTGCGCTCATAG
GAGTACAAGCGGCTGGAAAAGGAATAGAAACTGGGTATCATGCGGCCCCG
TTAATAGCTGGCTCTATTGGAATATTACATGGGATGAAAACATATGTATT
ACAGGATGAAAACGGCCAGATAAAGACAACTTACAGTATTGCACCTGGCC
TAGATTATCCAGCTGTTGGCCCTGAACATTCTTATTTAAAAGATACTAAA
AGAGTGGAATATGTTTCAGTTAAGGATGAAGAAGCAATAGAGGCATTTGA
AATTCTATCTAAAACAGAAGGAATAATACCTGCATTGGAACCGAGTCATG
CTTTAGCCTATGCAATAAAATTGGCTAGGAATCTAAGCAAAGATAAAGTT
ATTATTGTAAATCTCTCGGGAAGAGGAGACAAAGATATAGATTCATATTT
AAAGTTCAAGGGAATAAGTTTATGA
</t>
  </si>
  <si>
    <t>pyridoxal-phosphate dependent TrpB-like enzyme</t>
  </si>
  <si>
    <t>cren1_8best_scaffolds_00007690</t>
  </si>
  <si>
    <t xml:space="preserve">MFINNAKFPSFMSNLNRVVFEAEIPKYWYNILPDLPKPLPPPLNPSTKEP
VKPHELEAIFPKELIRQEVSVDRWIPIPEEVREIYRLWRPTPLYRAYRLE
RYLNTPARIYFKYEGVSPPGSHKPNTAVAQAYYNMKEGVKTLTTETGAGQ
WGSALAFACNLFGLNARIYMVRSSYDQKPYRKTLMQLWNAEVIPSPSSKT
KFGRSLLEQDPNNPGSLGIAISEAIEDAVSNENTKYSLGSVLNHVLMHQT
VIGIEAKEQISKIDEYPDIVVGCIGGGSSFSGLFWPFYYDSVSGKAIKKV
DFLAVEPTAAPSITKGVYTYDHGDTARLTPLLKMYTLGHDFIPPPIHAGG
LRYHGKAPTLCLLANEGIVKVKAYNQVEVFNAASLFFKLEGILPAPEPAH
AIKAVIDEAIKCKERGEEKVILFLLCGHGYFDMKAYQDYIEGKLEPYDYP
KEEILKSLMRLKQLYPWLYS
</t>
  </si>
  <si>
    <t>ATGTTTATAAATAATGCAAAGTTTCCATCATTTATGTCAAATTTAAACAG
AGTAGTATTTGAAGCGGAAATTCCGAAATATTGGTATAATATACTTCCAG
ATTTACCAAAACCTTTACCTCCACCTTTAAATCCCTCTACGAAAGAACCT
GTTAAACCGCATGAATTAGAAGCAATATTTCCTAAAGAGTTAATAAGGCA
AGAAGTTTCGGTTGATAGATGGATTCCTATACCCGAAGAGGTACGCGAGA
TCTATAGATTGTGGCGTCCAACGCCTTTATACAGGGCATATAGACTAGAA
CGATATTTAAATACACCCGCAAGGATATATTTCAAATACGAAGGCGTATC
ACCTCCGGGGAGTCATAAGCCAAATACGGCTGTAGCTCAAGCGTATTACA
ATATGAAAGAGGGTGTTAAAACATTAACAACTGAAACGGGGGCTGGTCAA
TGGGGTAGTGCGCTAGCTTTTGCATGCAATCTATTCGGTTTAAACGCAAG
AATATACATGGTAAGGTCTAGCTATGATCAAAAGCCATATAGGAAAACTC
TAATGCAACTTTGGAATGCAGAAGTAATACCAAGTCCTAGCTCTAAGACT
AAATTCGGCAGATCACTTTTGGAACAAGACCCTAACAATCCTGGCAGCTT
GGGAATAGCAATTAGTGAAGCTATTGAAGATGCAGTAAGCAATGAGAATA
CTAAATATTCATTGGGCAGTGTCTTAAATCATGTATTAATGCATCAAACA
GTAATTGGGATCGAAGCCAAAGAGCAAATATCTAAAATCGATGAATATCC
CGATATTGTGGTAGGATGCATAGGAGGTGGCAGTTCTTTTTCTGGTTTAT
TCTGGCCTTTTTATTATGATTCAGTTTCAGGAAAAGCTATAAAAAAAGTT
GATTTTCTTGCGGTAGAACCAACAGCAGCACCCAGTATAACTAAGGGTGT
ATATACATATGATCATGGAGATACAGCGAGGTTAACACCTCTGTTAAAGA
TGTATACATTAGGACATGATTTTATTCCACCGCCTATTCATGCAGGAGGA
TTACGATATCATGGTAAAGCTCCAACCTTATGTTTATTAGCCAATGAAGG
AATTGTGAAAGTTAAGGCTTATAATCAAGTTGAAGTTTTTAATGCTGCAT
CATTGTTCTTTAAATTGGAAGGCATATTGCCAGCACCGGAGCCCGCACAT
GCGATTAAGGCCGTTATAGATGAAGCAATAAAGTGTAAGGAAAGAGGAGA
AGAAAAAGTGATTCTATTCTTATTATGTGGTCATGGTTACTTCGATATGA
AAGCGTATCAAGATTATATTGAAGGTAAGCTTGAGCCTTACGATTATCCT
AAAGAGGAAATATTGAAATCTCTTATGCGACTCAAGCAATTATATCCATG
GCTTTACAGTTAA</t>
  </si>
  <si>
    <t>5.4.99.5</t>
  </si>
  <si>
    <t>Chorismate mutase</t>
  </si>
  <si>
    <t>cren1_8best_scaffolds_00002910</t>
  </si>
  <si>
    <t xml:space="preserve">LEETIGEIRKSIDEIDQKIIELLNERIKLCKRIAMIKRSQRIPIKDEKRE
MEIINRVGIFSDIFKEIIKICRKYEEEIVQNGQ
</t>
  </si>
  <si>
    <t>TTGGAAGAAACTATTGGAGAAATAAGAAAGAGCATAGACGAGATAGATCA
AAAGATAATCGAGCTTCTCAATGAAAGGATTAAACTATGTAAAAGAATTG
CCATGATTAAAAGGTCTCAAAGAATTCCTATTAAAGATGAAAAAAGAGAA
ATGGAAATAATAAATAGAGTAGGGATTTTTTCTGACATTTTTAAGGAAAT
AATTAAAATTTGTAGAAAATACGAGGAAGAAATTGTTCAAAATGGACAGT
GA</t>
  </si>
  <si>
    <t>4.2.1.51</t>
  </si>
  <si>
    <t>Prephenate dehydratase</t>
  </si>
  <si>
    <t>cren1_8best_scaffolds_00003510</t>
  </si>
  <si>
    <t>MKIAFQGERGAYSEIAAIKYFGTNIEIIPCKTLADTFYVAENEADFAIVP
IENSIEGSVNEACDLLLITNLKIVGEIYVKIEHALISYHENTLKDIKRVF
SHPQALAQCRKFISKLNLEAIPYYDTAGSVKMLSENYIKDAAAIASKRAA
ELYNMKIIAENISDEENNFTRFIVLGKKEAKSSGKDKTSIIFATKHEPGA
LYKALEEFAIRNINLTMIISRPIKGKPWEYNFYVDFEGHINEEKIIDCLN
GLKKKTTFLKILGSYPRTDFNY</t>
  </si>
  <si>
    <t>ATGAAAATCGCATTTCAAGGTGAAAGAGGAGCTTATAGCGAAATAGCCGC
TATTAAGTACTTTGGCACAAATATCGAGATAATTCCATGTAAAACTTTAG
CTGATACTTTTTATGTTGCTGAAAATGAAGCAGACTTTGCAATAGTTCCT
ATTGAAAATAGTATAGAAGGAAGTGTAAATGAAGCTTGTGACCTTTTATT
GATAACGAATCTTAAGATCGTTGGAGAAATTTACGTTAAAATTGAGCATG
CATTGATTAGCTACCATGAAAATACTCTTAAAGACATCAAAAGGGTCTTT
TCTCATCCTCAAGCTTTAGCTCAATGCAGAAAATTTATTTCAAAGTTAAA
CCTTGAAGCTATACCATACTATGATACAGCTGGAAGTGTTAAGATGCTTT
CTGAAAATTACATTAAAGATGCAGCAGCCATTGCTAGTAAAAGAGCTGCT
GAGTTATACAATATGAAAATAATCGCTGAAAATATATCGGATGAAGAGAA
TAATTTTACTAGGTTTATAGTATTGGGAAAGAAAGAAGCAAAATCTAGCG
GAAAAGATAAGACCTCAATAATTTTCGCAACTAAACATGAGCCAGGAGCA
CTCTATAAAGCCTTGGAGGAATTTGCGATAAGAAATATAAATCTTACAAT
GATAATTTCTAGGCCGATTAAGGGTAAACCTTGGGAATATAATTTTTATG
TTGATTTTGAAGGGCATATAAATGAAGAAAAAATAATAGATTGTTTGAAC
GGACTAAAGAAAAAAACTACTTTTCTAAAAATACTTGGATCCTATCCAAG
AACCGATTTTAATTACTAA</t>
  </si>
  <si>
    <t>MPILDSIKRSATVSLNDLINELKSKGVKVLSLAVGEPHFNTEREIIEEAY
RAMINGETHYVSSQGIIQLREAIAKKASLENLIPASASNVVIVPAKFAIY
ASLIALLDEGDEVLLPNPCWVSYESQIILARGKPVYYDLNDDFSLNFDEI
SFKLSDKTKAIIINSPHNPTGYVLTKEEMEHVVELAKDYNLYIISDEIYE
KYIYEGKHISPASLDFDRTITINGFSKAFAMTGWRLGYLIANKDIINKVV
TFVEQTLTCIPPFIQKAGVKSLELGEKIYKRYVEEYKKARDYVYERLSKI
NNIAVNKPGGAFYMFPRYLINVDSYTLAQELLLKKGVAIVPGSSFGSRGE
FHFRISYATSFEILKEAMDRIENYFDGYR</t>
  </si>
  <si>
    <t xml:space="preserve">ATGCCAATACTCGATTCGATCAAAAGATCAGCTACAGTTAGCTTGAATGA
TTTAATAAACGAGTTAAAGAGCAAAGGAGTTAAGGTATTGTCTTTAGCTG
TTGGAGAACCTCATTTTAATACTGAAAGAGAAATAATAGAGGAAGCTTAC
CGCGCAATGATTAATGGCGAGACTCACTATGTTAGTTCACAAGGAATTAT
TCAACTAAGGGAGGCAATAGCAAAAAAAGCCAGTTTAGAAAACTTGATTC
CTGCATCAGCATCAAACGTGGTTATTGTTCCAGCAAAATTTGCAATATAC
GCTTCTTTAATTGCTTTGTTGGATGAAGGAGACGAAGTTCTTTTACCCAA
TCCCTGTTGGGTAAGTTATGAGAGTCAAATAATTCTAGCAAGGGGGAAGC
CTGTATATTACGATTTGAATGATGATTTCTCATTAAACTTTGATGAGATC
AGTTTCAAATTATCTGATAAGACGAAGGCAATTATAATTAATTCTCCTCA
TAATCCAACAGGTTATGTGTTAACTAAAGAAGAGATGGAGCATGTGGTTG
AATTGGCAAAAGACTACAATCTTTACATTATAAGCGATGAGATATATGAA
AAGTATATCTATGAAGGTAAACATATCTCACCGGCCAGTTTAGATTTTGA
TAGAACTATAACAATAAACGGTTTTTCAAAAGCTTTTGCTATGACAGGAT
GGAGGTTGGGTTATTTAATAGCCAACAAAGATATAATAAATAAGGTAGTA
ACATTTGTTGAACAGACGCTAACTTGTATACCCCCGTTTATTCAAAAAGC
GGGAGTAAAATCTTTAGAATTAGGCGAGAAAATTTATAAAAGATATGTAG
AAGAATACAAAAAAGCAAGGGATTATGTTTATGAGAGGTTATCTAAGATA
AACAATATAGCTGTAAATAAACCTGGAGGAGCTTTTTATATGTTCCCTCG
ATATCTCATAAACGTTGATTCTTATACATTAGCTCAAGAATTATTACTTA
AGAAAGGCGTAGCTATTGTACCTGGTTCTTCTTTTGGAAGTAGGGGTGAA
TTCCATTTCAGGATTTCGTATGCTACATCGTTTGAAATATTGAAAGAAGC
AATGGACAGGATTGAAAATTACTTCGATGGATATAGGTAA
</t>
  </si>
  <si>
    <t>ATGATGAAACTTTCAAAACTTTCAAATTTAATTCAACCATCGCCTATAAG
GGAAATGCTTAAGGAGGTAAATGAATTAAGAAGAAATAGTGTGGACGTTA
TACAGCTTTCTACAGGACAACCTAGTTTACCTTTGGATGAAGAAGTGCTA
AATTTTTTAATAAGCAAGTTAAGAGAGAATCCTTTGAAGGTTAGTTCATA
TTCTCCAACTGCTGGAATACCAGAGCTAAGAGAAAAAATTTGTCACGATT
TATCATATTTCGGAAAAATAGATGTTGAAGAAAATGAGGTTTTAATAACT
GAAGGGGGTTCTGAAGGTCTTTTACTTGCAGCTTTAACATTATTTGATAA
AGATGATGAAGTAATAATACTTGAACCAACATACGTAAGTTACCCTAATG
TTACAATTATAGCAGGAGCTAAGCCAATATTTGTTTCGCAAAAAATGGAA
GAAAGTTATCAACCCAATTTAGAGGAAATTAAGTCAAAAATCAATTCAAA
GACGAAGGCGATAATGTTTGCTACACCGGATAATCCAACAGGTAGAGTGT
TGGATGAAAAAATTGCTAAGGGTTTGATAGAGATTGCAAAAGACTATCAA
TTATATCTAATTGTAGATGAAGCCTACAAGCACTTAATTTATGAAGGAGA
ACATTTCTGGTTCTGGAGATATGAGGATGCAAGGGATAGAGTTGTTTGCA
TTAACACTTTTTCTAAGGATCCTGCAATGACCGGTTTTAGACTAGGATAT
GCATATGGCCCAAAAGATGTAATTTCTGTTATGGAAAGAATAAAACAATA
TACCACGCTCTGCTCCAACACCCCTGCACAGATTGCTGCAATAAAATATC
TTGAACCTAAAGTTAAAGAAAAAGTATTAAGTTATACATTACAAATTTAC
AAAAAAAGAAGGGATGCCCTTATTGATGCGATGGAAGAATATCTTCCCTA
TGCGAAGTTTGTTAAGCCTAAAGGTGCTATGTATCTTTTTGCTAATTTCT
TACATTATTTTGGGAAGAAAGGAATCGATGACAAATTTTTCATGATGGAT
TTAATAAAAAAGAAATATGTCGCAGTTATAAGTGGAAGTAATTTTGGACC
TTCTGGAGCAAATCATATCAGAATCACCTTTGTAGGAGAGAATGAAGATA
GAATAAGATTAGGAATAAGATTAATAAAAGAGTATTTAAATTTATGA</t>
  </si>
  <si>
    <t>1.3.1.12</t>
  </si>
  <si>
    <t>Prephenate dehydrogenase</t>
  </si>
  <si>
    <t>cren1_8best_scaffolds_00002900</t>
  </si>
  <si>
    <t xml:space="preserve">MDSDDFKRVAIIGGAGRMGSLFARLLKPYYKVGIYDLDENKCKLIAKELN
IDYFSSLKEAIEASEVIEVATPLSKTRDIIKRIGKYNCKDKLVFDIASFK
SDIISAYKNFEKNSKIVSIHPMFGPGIKFTKNKPVLVIPLEGHENDVKFV
KEFLKELEFDFIEIDHKTHDEIMSLFISMPYLISISYLKVIKNYKQYFKY
GGASFKLMLTLSNLILNDSEEQIATICSNKLAKKFSLKFRKEMMKLTNLG
KDKIMKEVRKIKNDFYNEDVYRKAYDFFEMLH
</t>
  </si>
  <si>
    <t>ATGGACAGTGATGATTTTAAGAGGGTAGCCATTATTGGAGGAGCAGGCAG
AATGGGTTCGCTTTTTGCAAGATTGCTAAAGCCGTATTATAAAGTAGGCA
TATACGATTTGGATGAAAATAAATGCAAATTAATTGCTAAAGAGCTCAAC
ATTGATTATTTTTCAAGTCTAAAGGAAGCAATTGAGGCAAGCGAAGTCAT
AGAAGTAGCCACGCCTCTTTCAAAAACAAGAGATATAATAAAAAGAATAG
GTAAGTATAATTGCAAGGATAAGCTTGTGTTTGACATCGCTTCATTCAAA
TCTGACATAATTTCTGCTTACAAAAATTTTGAAAAAAACAGTAAAATTGT
AAGTATTCATCCAATGTTTGGTCCTGGCATAAAGTTTACTAAAAATAAGC
CTGTTCTTGTCATTCCACTAGAAGGGCATGAGAATGATGTTAAGTTCGTT
AAGGAATTTTTAAAAGAATTAGAGTTTGATTTCATAGAAATTGATCATAA
GACTCATGATGAAATAATGTCTCTTTTTATAAGCATGCCCTATTTGATCA
GCATATCATATTTAAAGGTTATCAAGAATTATAAGCAATATTTCAAATAT
GGAGGAGCTTCCTTTAAACTCATGCTTACACTTTCTAACTTAATATTAAA
TGATTCAGAGGAACAAATAGCAACAATTTGTTCAAATAAGCTTGCAAAGA
AGTTTTCTCTAAAATTTAGAAAAGAAATGATGAAACTTACAAATTTAGGC
AAAGATAAGATAATGAAAGAAGTAAGGAAAATTAAAAATGATTTTTATAA
CGAGGATGTCTATAGAAAAGCGTATGATTTCTTTGAAATGCTACATTAA</t>
  </si>
  <si>
    <t>2.2.1.6</t>
  </si>
  <si>
    <t>1.1.1.86</t>
  </si>
  <si>
    <t>4.2.1.9</t>
  </si>
  <si>
    <t>2.3.3.13</t>
  </si>
  <si>
    <t>4.2.1.33</t>
  </si>
  <si>
    <t>1.1.1.85</t>
  </si>
  <si>
    <t>hypothetical protein</t>
  </si>
  <si>
    <t>cren1_8best_scaffolds_00002260</t>
  </si>
  <si>
    <t xml:space="preserve">MDKIIVLTSNIGIDSVGRIVNTLRRGKVKLKEIKMNFEDNLVKIYIKLSG
EENEIDWLSKKLNRLVDVEEIKVLENG
</t>
  </si>
  <si>
    <t>ATGGATAAAATAATAGTTTTGACATCAAATATAGGAATTGATTCTGTAGG
TAGAATTGTAAATACTTTAAGGAGGGGTAAAGTTAAACTTAAAGAAATCA
AAATGAATTTCGAGGATAACCTTGTAAAAATTTATATCAAACTGAGTGGT
GAAGAAAATGAAATAGATTGGTTATCTAAAAAGTTAAATAGGCTTGTTGA
CGTAGAAGAAATAAAGGTGTTGGAAAATGGCTAA</t>
  </si>
  <si>
    <t>acetolactate synthase, large subunit, biosynthetic type</t>
  </si>
  <si>
    <t>cren1_8best_scaffolds_00002270</t>
  </si>
  <si>
    <t>MTVYDAFYGMDDVKLFTFKHEQAAIHAADAYARVLKKPGVVMVTSGPGAT
NLVTGLANAYMDSSPLVAVTGQVSTEILGRDGFQETDIIGVTFPITKFNY
MVKSAGEIPSAFRLAYNVAMAGRPGPVLIDIPKDLQNADFIEDKDIGKKI
NIDKLYPLEPNLEEVLRAVEILLNSERPVILVGGGVYWSGAWNEVIEIAE
FLNAPIVSTFPGKNSLPNDHSLYFGPAGMHGRVEADAALANADVVLALGT
RFSDRTVGRFREMNEKTVIHIDVDPSEINKNVKAKVGIAADVKKALQLMI
KFLPRTAKKNEKFLEWLRSIKRSYEELIEKRSEEFKFAPWKVLKILRNAL
PADCITTTGVGAHQMWCELHWEVQIPGTFITSAGLGTMGFGLPAALGAKI
AAKDKPVLLIDGDGSFQMTMNNLSLVRDYNLPIIMVIFDNRALMIVKQWQ
IYMYSRRIIETEFSHIPDFLKIANAYEIEGYRPDSYEDIERLVKWSLRNN
EPILLDITLDREKDIVLPWVKPGSWLTEVIMPEGMNTSIIWDGKNG</t>
  </si>
  <si>
    <t xml:space="preserve">ATGACAGTATACGATGCTTTTTATGGCATGGATGATGTAAAGCTATTTAC
TTTCAAGCATGAGCAGGCAGCAATTCATGCTGCGGATGCATATGCAAGGG
TTTTGAAAAAACCTGGGGTAGTAATGGTTACAAGCGGTCCAGGTGCAACA
AACTTGGTAACTGGTTTAGCAAACGCTTACATGGATAGTTCTCCATTGGT
TGCAGTTACAGGTCAAGTTTCGACAGAGATTCTTGGAAGAGATGGTTTTC
AGGAAACAGACATAATCGGAGTAACTTTTCCTATAACAAAATTCAATTAT
ATGGTTAAGAGTGCAGGTGAAATTCCTTCAGCTTTTCGTTTAGCTTATAA
TGTAGCCATGGCTGGAAGACCAGGTCCTGTATTGATTGATATTCCTAAAG
ATTTACAGAATGCAGATTTTATAGAGGATAAAGACATAGGTAAAAAAATA
AATATTGATAAACTTTATCCATTAGAGCCGAATTTAGAAGAAGTTTTAAG
AGCGGTTGAAATTTTACTCAATTCTGAAAGACCTGTAATATTGGTTGGAG
GAGGAGTTTATTGGAGTGGTGCATGGAATGAGGTGATTGAAATCGCTGAA
TTCCTAAATGCACCTATTGTTTCAACTTTTCCAGGTAAAAACAGTTTGCC
AAATGATCATTCTCTATACTTTGGTCCTGCTGGAATGCATGGAAGAGTTG
AAGCTGATGCAGCTCTAGCTAATGCAGATGTTGTTTTAGCTTTAGGAACA
AGATTCAGTGATAGAACCGTTGGTAGGTTTAGGGAAATGAACGAAAAAAC
AGTAATACATATTGATGTAGACCCAAGCGAGATTAACAAAAATGTGAAGG
CAAAAGTAGGGATTGCTGCAGATGTTAAAAAAGCTTTACAACTTATGATA
AAATTTTTACCAAGGACTGCGAAGAAAAATGAAAAATTTTTAGAATGGCT
TAGATCAATAAAAAGAAGTTATGAAGAACTAATTGAAAAGCGCAGCGAAG
AATTTAAATTTGCTCCTTGGAAGGTTCTGAAAATATTGAGGAACGCACTT
CCAGCTGATTGTATAACCACTACTGGCGTTGGAGCACATCAAATGTGGTG
TGAGTTGCATTGGGAGGTACAAATTCCAGGAACATTCATAACAAGTGCTG
GTCTAGGAACGATGGGTTTTGGGTTGCCTGCAGCTTTAGGTGCGAAAATT
GCTGCGAAGGATAAGCCTGTCTTGCTTATAGATGGTGATGGATCTTTTCA
AATGACAATGAACAACTTATCCTTAGTAAGAGATTATAACCTACCTATAA
TAATGGTAATCTTCGATAACAGGGCATTGATGATAGTAAAGCAGTGGCAA
ATTTACATGTATTCAAGAAGGATAATAGAAACCGAATTCTCCCACATTCC
CGATTTTCTTAAGATTGCAAATGCCTATGAAATAGAAGGCTATAGACCAG
ATAGTTATGAAGATATAGAAAGATTGGTGAAATGGTCTTTAAGGAACAAC
GAACCTATATTGCTAGATATTACTTTGGATAGAGAAAAAGACATTGTTTT
GCCATGGGTAAAACCAGGAAGTTGGCTTACTGAAGTAATAATGCCTGAAG
GAATGAATACAAGCATAATTTGGGACGGTAAAAATGGATAA
</t>
  </si>
  <si>
    <t>cren1_8best_scaffolds_00017630</t>
  </si>
  <si>
    <t>VKHIFGISGGSILPIYDALYDVDDIKLFTFKHEQGAIHAADAYARVSKKP
GIVMVTSGPGATNIVTGIANAYMDSSPVIAITGQVPTTIFGRDGFQETDI
IGVTFPITKFSYMVKNPNELPSAFRTAYKVAINDRPGPVLLDIPRDIQLA
YYTGDEDISKKVKLKPLPELNLQEIEKAIDILINSDRPVILVGGGVYWSG
AWNEVIRLAEILNAPIVSTFPGKNSIPNNHGLYMGPAGMHGRLEADAALV
NADVVLALGTRFSDRTVGRFSEMNQKKVIHIDIDSSEINKNVKTLVGIVS
DVKVALNEIIKRLPNSVKNNEKFLNWLKSIRKKYEDNLERLSVEMQFAPW
KVLKIIRNSVPVNTITTTGVGSHQMWCELHWDVFVPGTFITSAGLGTMGF
GLPAAIGAKIAAPDRPVVLIDGDASFQMTMNNLSLIRDYNLPIIIVIFDN
RALMLVKQWQMFMYSKRVIETEFTERPDFIKIANAYDIEAYKPDNYEAIE
MLIRRAIRTNEPVLIDITLDREKDYVLPWVKPGDWLTNVLKPKGMEEIDL
IWKE</t>
  </si>
  <si>
    <t>GTGAAGCATATTTTTGGTATTTCAGGAGGAAGTATACTACCAATTTATGA
TGCACTTTATGATGTTGACGATATAAAATTATTTACCTTTAAGCATGAAC
AGGGTGCAATACATGCAGCTGATGCTTATGCTCGAGTCTCAAAGAAACCT
GGTATAGTAATGGTAACGAGCGGACCTGGTGCAACAAATATAGTAACGGG
AATAGCCAATGCTTATATGGATAGCTCTCCAGTCATAGCGATTACAGGCC
AAGTTCCTACAACTATATTTGGTAGAGATGGCTTTCAAGAAACAGACATA
ATCGGAGTAACGTTTCCAATAACTAAGTTTAGTTATATGGTGAAAAATCC
CAACGAATTACCTTCGGCATTTCGCACAGCGTACAAAGTAGCAATAAATG
ATAGACCAGGTCCAGTGCTGCTAGATATACCAAGAGATATTCAGCTAGCT
TATTACACTGGAGATGAGGATATAAGTAAAAAAGTAAAATTAAAACCTTT
GCCTGAATTAAATTTACAAGAAATAGAAAAAGCCATTGACATTCTCATAA
ATTCTGATAGGCCAGTCATATTAGTCGGTGGTGGTGTATACTGGAGCGGT
GCATGGAATGAAGTTATCAGATTAGCTGAGATACTTAATGCTCCTATAGT
CTCTACATTCCCTGGCAAAAATAGCATACCAAATAATCATGGGCTATATA
TGGGGCCAGCTGGTATGCATGGAAGGTTAGAAGCTGATGCGGCGTTAGTC
AATGCAGATGTTGTTTTAGCTTTAGGAACAAGATTTAGCGATAGAACTGT
AGGAAGATTTAGTGAGATGAATCAGAAAAAAGTAATACATATAGATATTG
ATTCAAGCGAGATAAATAAGAACGTAAAAACTTTAGTAGGAATAGTTTCT
GATGTAAAAGTAGCACTAAATGAGATAATAAAAAGATTACCAAATTCGGT
TAAAAATAACGAGAAATTTCTTAATTGGCTGAAGTCTATAAGAAAAAAGT
ACGAAGATAACTTAGAAAGATTAAGCGTAGAAATGCAATTTGCACCATGG
AAAGTTCTAAAAATTATAAGAAATTCTGTTCCAGTAAATACTATAACTAC
AACGGGTGTTGGTTCTCATCAAATGTGGTGTGAATTACATTGGGATGTAT
TTGTTCCAGGAACTTTCATAACAAGTGCTGGTCTCGGGACTATGGGTTTC
GGTTTACCAGCAGCTATAGGTGCTAAAATTGCTGCACCTGATAGGCCTGT
AGTATTGATCGATGGCGATGCATCTTTCCAAATGACTATGAACAATTTAT
CTTTAATAAGAGATTATAATTTACCGATAATAATAGTAATTTTTGATAAT
AGAGCTCTAATGTTGGTTAAGCAATGGCAAATGTTTATGTATTCTAAGAG
GGTAATTGAAACGGAATTTACAGAACGGCCGGATTTTATCAAAATAGCTA
ACGCATACGATATAGAAGCCTATAAGCCAGACAATTATGAGGCAATTGAG
ATGCTAATTAGAAGGGCGATAAGAACTAATGAACCCGTATTAATTGATAT
TACGCTAGATAGAGAGAAAGATTATGTTCTTCCATGGGTTAAACCTGGAG
ATTGGCTAACTAATGTCTTGAAACCTAAGGGTATGGAAGAGATAGATTTG
ATATGGAAAGAATGA</t>
  </si>
  <si>
    <t>ketol-acid reductoisomerase</t>
  </si>
  <si>
    <t>cren1_8best_scaffolds_00002250</t>
  </si>
  <si>
    <t>MAKVYTDKEASLDILKDKTISVIGYGSQGRAQALNLRDSGLHVILGLRQG
KSWNEAKKEGFEVYEVDEAVKRSDLVMVLIPDMVQPSIWEKYIAPNLKEG
KVVDFAHGFNIRFNLIKPPKFVDVIMVAPKSPGRLVREEYLRGSGVPSLV
AVHQNYSGKALNYALAIAKGIGSTRVGVIETNFAEETETDLIGEQTVLVG
GLIELLKKGFEVLVELGYQPEVAYFEAINEAKLIMDLIWEKGFIGMLMNV
SETARFGGLTVGPKVIDDRVKENMKKVAEKVINNEFALQWVNEYKQGMSN
LNKLLKELENHQVEITGKFLRSLRDKKT</t>
  </si>
  <si>
    <t>ATGGCTAAAGTATATACAGATAAGGAGGCTTCCTTAGATATACTTAAAGA
TAAAACAATATCAGTTATAGGATACGGTAGCCAAGGAAGAGCTCAGGCAT
TGAATCTAAGAGATAGTGGATTACATGTGATTTTAGGATTGAGACAAGGC
AAATCTTGGAACGAAGCAAAAAAGGAAGGTTTCGAAGTTTATGAAGTAGA
TGAAGCTGTTAAAAGATCGGATTTAGTAATGGTTCTTATACCTGATATGG
TTCAACCAAGCATATGGGAAAAATACATTGCTCCAAACTTAAAGGAAGGA
AAAGTTGTTGATTTTGCACATGGTTTCAATATAAGATTCAATTTAATCAA
GCCTCCAAAATTTGTCGATGTTATAATGGTAGCTCCAAAATCTCCTGGAA
GGCTTGTTAGGGAAGAATATTTGAGAGGAAGTGGCGTCCCTTCATTGGTA
GCTGTTCATCAAAATTATAGTGGAAAAGCTTTAAATTATGCTTTAGCAAT
TGCAAAGGGGATAGGCTCAACAAGAGTAGGTGTAATAGAAACAAACTTTG
CAGAAGAAACAGAAACAGATTTGATAGGTGAGCAAACAGTTTTGGTGGGA
GGATTGATAGAACTTTTGAAGAAGGGATTTGAAGTTTTAGTTGAACTAGG
ATATCAACCTGAAGTTGCTTATTTTGAAGCCATCAATGAGGCAAAGCTAA
TAATGGATTTAATTTGGGAAAAAGGTTTCATAGGGATGCTAATGAACGTC
TCTGAAACTGCAAGATTCGGAGGATTAACTGTCGGTCCTAAAGTTATAGA
TGACAGGGTAAAGGAAAACATGAAAAAAGTTGCAGAGAAAGTAATAAACA
ATGAATTTGCATTGCAATGGGTAAACGAATATAAACAAGGCATGTCAAAT
TTAAATAAACTTTTGAAGGAATTGGAGAATCATCAAGTTGAAATTACTGG
AAAGTTCTTACGATCTCTAAGGGATAAAAAGACATAA</t>
  </si>
  <si>
    <t>dihydroxy-acid dehydratase</t>
  </si>
  <si>
    <t>cren1_8best_scaffolds_00017960</t>
  </si>
  <si>
    <t>MISKEYYKGVEKAPNRAFLRAIGLTDTDLDKPFVGIGVAWNEAGPCNYHT
LDLARFAKEGVREAGATPRTFATPLVIDGIAMGNFGMKYSLPSREVIANT
VELTILGHGYDAFLGICGCDKTNPAMVMAAARLNIPSIVFYAGSTMPGIY
EGEKITIEEVFEAVGSYQAGLISLQKLEEIEKSAIPTVGSCGGLFTANTM
AFMIEALGIALPNSSAPPAISSLKSRYAYESGKQIVKLIENGIKARDILK
YEAFENAITVLMAIGGSTNAILHLLAIANEANVKLELEEFERISNRVPLI
VNMKPHGKYTMADLYEIGGVGVVIKKLLDKGLLNENALTVTGKTLKESYE
GVKFVKVYDDLVYDVDNPIKPTGGIKILKGNLAPKGSVFKISASGITYHK
GNAKVFDSEEEAFKAVKEGTIEKGDVVIIRYEGPKGGPGMREMLAVTSAI
VGRGLGKDVALVTDGRFSGATRGIMVGHVCPEAYEGGPIAVVKDGDTIVI
DGNKSEINIEISNSELEERLKRWKKPEPKVKNGFLYQYSLLVTDASQGCV
LKRFI</t>
  </si>
  <si>
    <t>ATGATATCTAAGGAATACTATAAAGGAGTAGAAAAAGCTCCAAACCGTGC
TTTCCTAAGAGCAATAGGACTTACTGATACAGATCTTGACAAGCCCTTCG
TTGGAATTGGAGTTGCTTGGAATGAAGCTGGACCATGCAATTATCATACG
CTAGATTTAGCTAGATTTGCGAAAGAAGGAGTGAGAGAAGCAGGAGCAAC
TCCCAGAACTTTTGCAACCCCCTTGGTTATAGACGGTATAGCTATGGGTA
ACTTTGGAATGAAATACTCATTGCCAAGCAGGGAGGTAATCGCAAATACT
GTTGAACTCACAATTCTCGGCCATGGTTATGATGCTTTTTTAGGAATATG
TGGTTGTGATAAAACTAATCCTGCTATGGTTATGGCTGCTGCAAGACTTA
ACATTCCTTCGATCGTTTTCTATGCAGGTTCAACGATGCCAGGAATTTAT
GAAGGAGAAAAAATAACAATAGAAGAAGTATTTGAAGCTGTAGGTAGCTA
TCAAGCAGGGCTTATTTCTTTGCAAAAGCTTGAAGAAATCGAAAAATCAG
CAATACCAACAGTAGGTAGTTGTGGAGGACTTTTTACAGCAAACACAATG
GCCTTCATGATAGAGGCTTTAGGAATAGCATTGCCTAACAGCTCTGCACC
TCCTGCAATTTCTTCATTAAAAAGCAGATATGCCTATGAAAGTGGAAAGC
AGATAGTTAAGCTAATCGAAAATGGAATAAAAGCAAGAGATATATTAAAG
TATGAAGCTTTTGAGAACGCAATAACAGTTTTGATGGCCATAGGGGGATC
GACTAATGCTATTTTGCATCTACTCGCAATTGCGAATGAAGCCAATGTTA
AACTTGAGCTAGAAGAATTTGAAAGAATTTCGAATAGAGTACCCTTAATA
GTTAACATGAAACCTCATGGAAAGTATACAATGGCAGATTTATACGAGAT
AGGAGGAGTGGGTGTAGTTATTAAAAAACTTCTTGATAAAGGTCTTCTAA
ATGAAAACGCACTAACAGTTACCGGCAAAACCTTGAAGGAAAGTTACGAG
GGTGTTAAGTTTGTAAAAGTTTACGATGACTTAGTCTATGACGTAGATAA
TCCAATAAAGCCAACTGGAGGAATTAAGATTCTGAAAGGTAATTTAGCTC
CAAAAGGTTCAGTTTTTAAGATATCTGCTTCAGGAATAACTTATCACAAA
GGAAATGCAAAAGTTTTTGATAGTGAAGAAGAAGCTTTCAAAGCAGTAAA
AGAAGGAACGATTGAAAAAGGTGATGTTGTAATAATAAGATATGAAGGAC
CAAAAGGAGGACCTGGTATGAGAGAAATGTTAGCTGTGACTTCAGCGATC
GTTGGAAGAGGCCTTGGAAAAGATGTAGCTTTGGTAACTGATGGAAGATT
TTCTGGTGCAACAAGGGGAATAATGGTTGGTCATGTTTGCCCTGAAGCCT
ATGAAGGAGGACCAATTGCTGTGGTGAAGGATGGAGATACAATTGTCATA
GATGGAAATAAAAGTGAAATAAACATAGAAATATCAAATAGCGAGTTAGA
AGAAAGATTGAAAAGATGGAAAAAGCCTGAACCAAAGGTTAAAAATGGTT
TCCTTTACCAGTATTCATTACTTGTTACCGACGCTTCACAGGGATGCGTA
CTAAAAAGATTTATTTAA</t>
  </si>
  <si>
    <t>branched-chain amino acid aminotransferase, group I</t>
  </si>
  <si>
    <t>cren1_8best_scaffolds_00000980</t>
  </si>
  <si>
    <t xml:space="preserve">LKIGYYSYVWYNGEIVEWNKATVHLMSHALHYGTSVIEGIRAYADEENVY
VFRLVDHMKRFINSAKIYSFNLKYSLDELLKAVVETIRTNNVKEGCYIRP
IAFVGMHGIDLYVSKDSPINVAIILLKVGEYMKSEGVRACISSWRRICDP
LIPPLAKAGGNYLNSVLATQESKRNGYDEAIMLDLNGNVSEAPGENIFIV
RKGKIYTPPVSAGILEGITRDTAITIANDLGYEVIERNIPKTELYISDEI
FLTGTAAEIAPVISVDGITIGDGKIGPVTKSIKELYHQAVRNKLPKYSHW
LTKVY
</t>
  </si>
  <si>
    <t>TTGAAAATAGGATACTATAGTTATGTTTGGTATAATGGAGAAATAGTAGA
ATGGAATAAAGCAACAGTGCACTTAATGTCTCATGCCCTACATTACGGAA
CAAGTGTGATAGAAGGAATAAGAGCTTATGCAGATGAAGAAAACGTATAC
GTATTCAGATTAGTTGATCATATGAAAAGATTCATAAATTCGGCTAAAAT
TTACTCTTTCAACCTAAAATACAGTTTAGATGAACTTTTAAAGGCTGTTG
TTGAAACTATTAGGACTAATAACGTAAAAGAAGGTTGCTATATTAGACCA
ATAGCGTTCGTAGGCATGCATGGAATAGACCTTTATGTATCTAAAGATTC
TCCTATAAATGTTGCAATTATTTTGCTAAAAGTAGGTGAATATATGAAAT
CTGAAGGCGTAAGAGCATGTATATCTTCATGGAGAAGAATATGCGATCCA
TTAATTCCTCCATTGGCAAAGGCTGGTGGAAATTATCTTAATTCTGTATT
AGCTACTCAGGAAAGTAAAAGAAATGGTTACGATGAAGCAATCATGCTAG
ATTTAAATGGAAACGTTAGTGAGGCTCCAGGAGAAAATATTTTTATTGTT
AGGAAAGGAAAAATATATACGCCGCCCGTATCTGCAGGAATTTTAGAAGG
GATAACAAGAGATACTGCAATTACCATTGCAAATGATTTAGGTTACGAAG
TTATAGAAAGAAACATACCCAAAACTGAGTTATATATAAGCGATGAAATC
TTCTTAACTGGTACCGCAGCAGAAATAGCTCCTGTAATAAGCGTTGATGG
AATAACGATAGGCGATGGAAAAATAGGGCCAGTAACAAAAAGCATAAAAG
AATTGTACCACCAAGCAGTAAGAAATAAACTTCCAAAATATTCACATTGG
TTAACAAAAGTATATTAA</t>
  </si>
  <si>
    <t>cren1_8best_scaffolds_00015050</t>
  </si>
  <si>
    <t>MKELKKLWIDGQFVDWHEAKIHILTHALHYGYAVFEGIRCFSTEEGPAIF
RLRDHLERFFNSAKIYNMKINYTMEDLTKVIIKLIELNDVEECYIRPIAF
TGYGEMGLNPLKNKVSIAVTLWEWGPYLGEEGKRKGVRCMVSSWIRVDSR
SLPPQAKCAANYANSGLAKMEAVLNGYDEAIMLNSHGFVSEGPGENIFRV
KEGVLTTPPASAGILRGVTRDTVIKFAKDLGITFYRNDISREELYTSDEL
FFTGTAAGIVPIREVDGRPIGNGDYPLTRKLQQLYEDTVHGRIEKYKYWL
TYIKEVKTSL</t>
  </si>
  <si>
    <t xml:space="preserve">ATGAAAGAATTAAAGAAACTTTGGATAGATGGACAATTCGTTGACTGGCA
CGAAGCAAAAATACACATTCTTACACATGCCTTGCACTATGGATACGCTG
TTTTTGAAGGAATAAGATGTTTTTCAACAGAGGAAGGTCCTGCAATATTT
AGATTGAGAGATCATTTAGAGAGATTTTTTAATAGTGCTAAAATTTACAA
CATGAAAATAAATTATACAATGGAGGACCTTACAAAGGTAATTATAAAGT
TAATTGAGCTTAACGATGTTGAAGAATGTTATATCAGACCAATAGCTTTT
ACAGGTTATGGAGAAATGGGTCTAAATCCTTTAAAGAACAAGGTCAGTAT
TGCTGTAACATTATGGGAATGGGGTCCATACTTAGGGGAAGAAGGAAAAA
GAAAGGGAGTAAGGTGCATGGTTTCAAGTTGGATAAGAGTTGATTCAAGA
AGCTTACCTCCACAAGCAAAATGTGCTGCAAATTATGCTAACTCTGGTTT
GGCTAAGATGGAAGCTGTTTTAAATGGATATGATGAAGCAATAATGCTGA
ATAGCCATGGTTTCGTTTCCGAAGGTCCTGGTGAGAACATATTTAGGGTA
AAAGAAGGGGTTTTAACAACTCCTCCTGCAAGTGCAGGTATATTAAGGGG
AGTTACTAGAGATACTGTAATAAAGTTTGCTAAAGATTTAGGAATAACTT
TCTACAGAAACGATATTTCAAGAGAAGAACTTTACACTTCTGATGAACTT
TTCTTTACTGGAACAGCTGCTGGAATAGTTCCAATAAGGGAAGTTGATGG
AAGGCCAATAGGGAATGGAGATTATCCACTAACAAGGAAGTTGCAACAGC
TTTATGAAGATACTGTGCATGGAAGGATTGAAAAATATAAGTATTGGCTA
ACCTACATTAAAGAAGTTAAAACGAGCTTATAA
</t>
  </si>
  <si>
    <t>Glutamate dehydrogenase/leucine dehydrogenase</t>
  </si>
  <si>
    <t>cren1_8best_scaffolds_00017510</t>
  </si>
  <si>
    <t>VEGMKIFEYMNKYDYENVFICNDNATGLKAVIAIHDTTLGPAAGGCRMWK
YENEIDAIFDAMKLARAMTYKYAAAGRELGGGKLVIIGDPKKDKSEALFR
AVGRFIERLGGIYSTGTDVGTDLNDMVNIYKETRYVITLPRSYGGAGDIS
PATAFGVVEAMQIGARKVFGSENLNGLKVAVQGLGKVGSEVVKLLSKKGA
KLVICDIDAERAQKIAKEYEAKIVDPEKIYEEEVDIFSPNALGGILNSKT
IQRLKAKLICGGANNQLESEAVGDELHKRGILYLPDYVVNSGGTVYDTYR
LFHNNIHNHDFAIEEVETLIRQNITRILEISENESIPTYLAADKYAEERI
RGAAKTKTIRLPQERRWYW</t>
  </si>
  <si>
    <t>GTGGAAGGGATGAAGATTTTTGAATACATGAACAAATATGATTACGAAAA
TGTCTTTATTTGTAATGATAATGCTACAGGACTTAAAGCGGTAATTGCAA
TACATGATACAACTCTTGGTCCTGCAGCGGGAGGTTGCAGGATGTGGAAA
TACGAAAACGAAATTGATGCGATATTTGATGCTATGAAATTGGCAAGGGC
CATGACTTACAAGTACGCTGCTGCAGGAAGAGAACTCGGTGGGGGTAAAC
TTGTTATCATTGGAGATCCTAAAAAGGATAAATCAGAAGCTTTATTCAGA
GCAGTAGGAAGATTCATTGAGAGATTAGGAGGAATCTATTCAACAGGAAC
AGATGTAGGAACAGATTTGAATGATATGGTAAATATATATAAAGAGACAA
GATATGTAATAACGCTTCCAAGATCGTATGGAGGAGCAGGAGACATAAGT
CCTGCGACCGCATTTGGAGTTGTAGAGGCAATGCAGATTGGAGCAAGAAA
AGTATTTGGTTCAGAGAATTTAAACGGCTTAAAGGTAGCAGTTCAGGGAT
TGGGAAAAGTCGGTTCAGAAGTGGTCAAGTTGTTATCTAAAAAAGGTGCA
AAGTTAGTAATTTGCGATATTGATGCTGAAAGAGCACAGAAGATTGCAAA
GGAATATGAGGCTAAAATTGTAGATCCTGAAAAAATCTATGAAGAGGAAG
TTGATATATTTTCACCAAACGCATTGGGAGGTATTCTTAATTCTAAAACA
ATTCAAAGGCTTAAGGCTAAGCTAATCTGTGGAGGCGCTAATAATCAGCT
TGAAAGTGAGGCTGTAGGTGATGAGCTACATAAAAGAGGAATTCTCTATC
TTCCTGATTACGTAGTTAATTCAGGAGGAACTGTTTATGATACTTACAGA
TTATTCCATAACAATATCCATAATCATGATTTTGCAATCGAGGAAGTTGA
GACATTGATTAGACAGAATATAACAAGAATACTTGAAATAAGTGAAAATG
AAAGCATTCCCACCTATTTAGCAGCAGATAAGTATGCTGAGGAAAGAATT
AGAGGAGCAGCAAAAACTAAAACAATAAGATTGCCTCAAGAGAGGAGGTG
GTATTGGTAA</t>
  </si>
  <si>
    <t>Isopropylmalate/homocitrate/citramalate synthases</t>
  </si>
  <si>
    <t>cren1_8best_scaffolds_00017620</t>
  </si>
  <si>
    <t>LNPSEKLTIAQALEELGVDIIEAGFPASAKSEIEAVKLIKRNIYKSKIAA
LTRTRKNDIEAAIATDADVIHIFIATSEIHMKYKLRMSPQEVLTNAIQAV
EYAKSHGVTVMFSAEDATRSDPNFLVKVYKEVIKAGADMINVPDTVGVMT
PDRIAQLISFIRKHIGYEIPMDIHCHNDFGLAVANTTAAIQAGADGAQVV
MNGYGERAGNAALEEVVSVLHFLLGYKTNIKTNLIRDTSKLVSNLFKIPV
PPNKPIVGENAFSHESGIHVHGILNNPLTYEPINPEIVGMSRRIVLGKKS
GKASIEHVLKTMGIEPNEQIIAYALEKVKELSIQGIKINDKIIKDIISEY
LKIST</t>
  </si>
  <si>
    <t>TTGAATCCTTCTGAAAAACTAACAATTGCTCAAGCATTAGAGGAGTTGGG
CGTTGATATTATAGAAGCAGGATTCCCTGCCTCAGCAAAAAGTGAAATAG
AAGCAGTAAAACTAATAAAAAGAAACATTTATAAATCGAAAATAGCAGCA
TTAACAAGAACACGAAAAAACGATATAGAAGCAGCAATAGCTACAGATGC
TGATGTAATTCATATCTTTATAGCAACATCGGAAATACATATGAAATATA
AACTTAGAATGAGTCCTCAAGAAGTACTGACTAATGCTATACAAGCTGTA
GAATATGCAAAAAGTCACGGTGTAACAGTAATGTTTAGTGCAGAAGATGC
AACAAGGAGCGACCCTAACTTTTTGGTAAAAGTTTACAAAGAAGTAATAA
AGGCTGGCGCAGATATGATAAATGTTCCAGACACTGTAGGTGTAATGACG
CCAGATAGGATAGCGCAACTTATAAGCTTCATAAGAAAACACATAGGTTA
TGAAATACCAATGGACATACATTGCCATAATGACTTCGGACTAGCAGTAG
CTAATACTACTGCTGCAATTCAAGCAGGTGCTGATGGAGCTCAAGTGGTT
ATGAATGGGTATGGAGAAAGAGCTGGTAACGCAGCACTGGAAGAGGTTGT
GTCGGTTCTGCACTTCCTATTGGGATACAAAACTAATATTAAGACAAACT
TGATACGTGATACTAGCAAGTTAGTATCAAATCTATTCAAAATACCTGTA
CCCCCAAATAAACCAATAGTAGGAGAGAATGCATTCTCGCATGAAAGTGG
AATACACGTGCATGGAATTTTGAACAATCCACTCACATATGAGCCAATAA
ATCCAGAGATTGTAGGGATGTCAAGAAGAATAGTCTTGGGCAAGAAAAGT
GGAAAAGCTTCAATAGAACATGTACTCAAAACTATGGGAATAGAGCCAAA
TGAACAGATAATCGCTTACGCACTTGAAAAAGTGAAAGAATTAAGCATTC
AAGGAATTAAGATAAACGATAAAATAATCAAGGATATAATAAGCGAATAC
TTAAAAATCAGTACATAA</t>
  </si>
  <si>
    <t>cren1_8best_scaffolds_00019440</t>
  </si>
  <si>
    <t>VIIDDTLREGLQSPNVAFKFEEKIHLAKLISDAGIERAIVSHPSAHRSEF
EATKVIVDKKVFKETFALGRIKKEDIDLIDNTGANISLYLPFKIEDIDKI
LDLIRYAKSKNKLLDVAIVNISNLQEEELIKLAKKLNGIGVDSIQLADSL
GEINPKKSYEIVKKVKQSVESKISVHFHNDYGLSVANSVSAIYAGADFVG
CTLMGIGERNGIADLATIAHFLINSSYKLNIDFSKLKKAYDYLIELLKRK
GWNFYDNIPIFGENTQIHTAGTHAYFSNVFKNKNYSINVYTGKTMIKEIL
EKNNISIEEKKLEYFVNKIKDHSVEIGKAFNEKEVIELYKEWLE</t>
  </si>
  <si>
    <t xml:space="preserve">GTGATAATCGACGACACATTAAGGGAAGGATTACAATCCCCAAATGTTGC
TTTTAAATTTGAAGAAAAAATTCATCTTGCTAAATTGATATCAGATGCTG
GAATCGAAAGAGCAATTGTTTCCCATCCTTCTGCCCATAGAAGCGAATTT
GAGGCAACTAAGGTTATTGTAGATAAAAAGGTATTCAAAGAAACTTTTGC
ATTAGGAAGAATAAAAAAAGAAGATATAGATCTCATTGATAATACGGGTG
CAAATATTTCTCTATATTTGCCTTTTAAAATCGAAGACATAGACAAGATT
TTAGATTTAATCAGGTATGCGAAGTCGAAAAATAAATTGCTTGATGTTGC
AATAGTTAATATCTCAAACCTTCAAGAAGAAGAACTTATAAAATTAGCAA
AGAAATTGAACGGAATAGGTGTGGATTCAATTCAACTAGCTGACTCTCTA
GGTGAGATAAATCCTAAGAAGTCATATGAAATTGTTAAAAAGGTAAAACA
GAGCGTTGAATCAAAAATATCTGTACATTTTCATAATGATTATGGTTTAT
CAGTGGCGAATTCTGTAAGCGCTATCTATGCTGGTGCGGATTTTGTTGGT
TGTACATTAATGGGAATAGGTGAGAGAAATGGCATAGCAGATTTAGCTAC
AATTGCTCATTTTTTAATCAATTCATCCTATAAATTAAATATAGATTTTA
GTAAATTGAAGAAAGCCTACGATTATTTGATAGAACTATTGAAAAGAAAA
GGTTGGAATTTTTATGACAATATACCTATATTTGGAGAAAATACACAAAT
TCATACAGCTGGGACGCATGCTTATTTCAGTAATGTATTTAAAAACAAAA
ATTATTCTATCAATGTATATACAGGAAAAACAATGATAAAGGAGATACTT
GAGAAAAACAATATATCAATTGAAGAGAAGAAATTGGAATATTTCGTTAA
TAAGATTAAAGACCATTCTGTAGAAATAGGTAAAGCATTCAATGAAAAAG
AGGTTATTGAACTTTATAAGGAATGGTTAGAGTAA
</t>
  </si>
  <si>
    <t>3-isopropylmalate dehydratase, small subunit</t>
  </si>
  <si>
    <t>cren1_8best_scaffolds_00001110</t>
  </si>
  <si>
    <t xml:space="preserve">MKITFVEGKVIPLQADNVDTDQIIPAQFLKLSKREGLGKYLFYRLRYDEE
GRPKGGFILDDPRYSGASILVTGRNFGIGSSREHAVWALLDFGIKAVISS
SFGDIFYENAAKNGLVCVKIEENVVKEIIEKALNTQLYVKIDLEKKILSY
MGKNVNFEIEESVRKRLMLGLDDIGFTLETYEDAIRKFEEGLKPYIKIRK
EWKYCG
</t>
  </si>
  <si>
    <t>ATGAAGATAACCTTTGTAGAAGGTAAAGTTATTCCATTACAGGCTGATAA
TGTAGACACTGATCAGATAATTCCTGCTCAATTCCTAAAGCTAAGCAAAA
GAGAGGGGTTAGGTAAATATCTTTTTTATAGGTTAAGATATGACGAAGAG
GGACGACCGAAAGGAGGATTCATACTTGATGATCCAAGATACTCTGGTGC
ATCAATACTTGTTACAGGTAGAAACTTTGGAATAGGCTCATCAAGAGAAC
ATGCTGTATGGGCTCTATTAGACTTCGGTATCAAAGCCGTTATATCGTCT
TCTTTTGGTGATATATTTTACGAAAATGCTGCAAAAAATGGTCTCGTATG
TGTAAAAATTGAAGAAAATGTTGTAAAAGAAATTATTGAAAAAGCCCTGA
ATACGCAACTATATGTGAAGATTGATCTTGAGAAAAAAATTCTTTCATAT
ATGGGAAAAAATGTTAACTTCGAAATTGAAGAGAGCGTTAGGAAAAGACT
AATGTTAGGTTTAGATGATATAGGTTTTACATTAGAGACTTATGAGGATG
CAATAAGAAAGTTTGAAGAGGGATTAAAGCCCTATATAAAGATTAGAAAA
GAGTGGAAATATTGCGGCTAA</t>
  </si>
  <si>
    <t>3-isopropylmalate dehydratase, large subunit</t>
  </si>
  <si>
    <t>cren1_8best_scaffolds_00001120</t>
  </si>
  <si>
    <t xml:space="preserve">MGRTIYEKIWEAHKIASDGDRYLIYIDRHYIHEVTSPVAFERLRSYGRKV
RRPDLTIAVMDHNVPTGDRTKPISDPLSLEQMEILKKNAYSHDIMLLDYY
SPYQGIVHVIGPELGLTLPGMTVACGDSHTSTHGGLGALAFGIGTSEVEH
ILATQSLWIKKHRSMEVKLNGRAGKGIMSKDVILSLIGTIGTGGAIGHII
EFRGEYVDYLNIEERMTLTNMSIEAGARTAIISPDEKTIEYLRGKPFAPK
GEEFYEMANFWKSLATDPGAYFDKVFEMDVTRVEPQVTWGTTPAMVSSVN
GTIPEPNSYEDEIMRLSVERALKYMGLKPGMNIKDISVDRVFIGSCTNAR
LYDLIQAARIVKGKKVKSGVRAMVVPGSQLVKRQAERLGLHRIFIDAGFE
WRNSGCSLCLGMNEDRLSPGERCASTSNRNFENRQGPGGRTHLVSPLTAA
ATALEGKFVDVREYEILPLEEVVDVELLERLGYGWMLR
</t>
  </si>
  <si>
    <t>ATGGGAAGAACCATATATGAGAAGATATGGGAAGCCCATAAGATAGCAAG
TGATGGCGACAGATATCTAATATATATAGATAGGCATTATATACACGAGG
TAACATCTCCAGTAGCATTTGAAAGACTTAGAAGCTACGGTAGGAAGGTT
AGGAGACCTGATCTAACAATAGCAGTAATGGATCACAACGTTCCTACAGG
AGATAGGACTAAGCCTATATCAGATCCTCTTTCGCTTGAGCAAATGGAAA
TTCTTAAGAAGAATGCATATTCTCATGACATTATGCTACTGGATTATTAT
AGTCCTTACCAAGGCATAGTTCATGTTATAGGTCCAGAGCTAGGTTTAAC
TCTTCCTGGAATGACAGTTGCCTGTGGTGATAGCCATACATCAACCCATG
GAGGATTGGGGGCATTAGCATTTGGTATTGGGACCAGCGAAGTTGAACAT
ATACTTGCAACACAATCTCTCTGGATAAAGAAACATAGAAGCATGGAGGT
GAAACTTAATGGAAGAGCTGGTAAAGGTATTATGTCTAAGGATGTTATTC
TTTCGTTGATAGGTACTATAGGTACTGGAGGCGCTATAGGACATATAATT
GAGTTCAGGGGAGAATATGTAGATTACCTAAATATAGAGGAAAGAATGAC
CCTTACTAACATGTCGATCGAAGCTGGAGCTAGAACCGCTATTATTTCAC
CTGACGAAAAGACCATTGAATATCTGCGTGGTAAACCCTTTGCACCTAAA
GGTGAGGAATTTTATGAAATGGCTAATTTCTGGAAATCCTTAGCTACAGA
TCCTGGGGCTTACTTTGATAAGGTTTTTGAGATGGATGTGACCAGAGTGG
AACCTCAAGTAACATGGGGTACAACTCCTGCAATGGTCTCCAGTGTTAAC
GGTACAATTCCTGAACCCAATTCCTATGAGGATGAGATTATGAGGTTATC
AGTTGAAAGAGCGCTTAAGTATATGGGGCTGAAGCCAGGCATGAATATAA
AAGATATAAGTGTAGATAGAGTTTTCATAGGATCTTGTACCAATGCCAGA
CTTTATGATCTAATACAAGCAGCTAGGATAGTCAAGGGAAAAAAGGTTAA
GAGCGGTGTTAGAGCTATGGTTGTACCTGGCTCACAACTTGTTAAGAGGC
AGGCTGAAAGGTTAGGTCTGCATAGGATTTTTATAGATGCAGGTTTTGAG
TGGAGAAACTCTGGTTGCAGCCTGTGTTTAGGTATGAACGAAGATAGACT
ATCACCAGGTGAGAGATGTGCTAGTACCTCTAATAGAAACTTTGAGAATA
GGCAAGGACCAGGAGGCAGAACACATCTTGTAAGTCCTTTGACCGCCGCA
GCTACAGCTTTAGAAGGTAAATTTGTCGATGTAAGAGAATACGAAATACT
TCCATTAGAAGAGGTTGTAGATGTAGAACTACTCGAAAGATTGGGATATG
GTTGGATGTTGAGGTGA</t>
  </si>
  <si>
    <t>Alanine</t>
  </si>
  <si>
    <t>A</t>
  </si>
  <si>
    <t>Arginine</t>
  </si>
  <si>
    <t>R</t>
  </si>
  <si>
    <t>Asparagine</t>
  </si>
  <si>
    <t>N</t>
  </si>
  <si>
    <t>D</t>
  </si>
  <si>
    <t>Cysteine</t>
  </si>
  <si>
    <t>C</t>
  </si>
  <si>
    <t>E</t>
  </si>
  <si>
    <t>Glutamine</t>
  </si>
  <si>
    <t>Q</t>
  </si>
  <si>
    <t>Glycine</t>
  </si>
  <si>
    <t>G</t>
  </si>
  <si>
    <t>Histidine</t>
  </si>
  <si>
    <t>H</t>
  </si>
  <si>
    <t>Isoleucine</t>
  </si>
  <si>
    <t>I</t>
  </si>
  <si>
    <t>Leucine</t>
  </si>
  <si>
    <t>L</t>
  </si>
  <si>
    <t>Lysine</t>
  </si>
  <si>
    <t>K</t>
  </si>
  <si>
    <t>Methionine</t>
  </si>
  <si>
    <t>M</t>
  </si>
  <si>
    <t>Phenylalanine</t>
  </si>
  <si>
    <t>F</t>
  </si>
  <si>
    <t>Proline</t>
  </si>
  <si>
    <t>P</t>
  </si>
  <si>
    <t>Serine</t>
  </si>
  <si>
    <t>S</t>
  </si>
  <si>
    <t>Threonine</t>
  </si>
  <si>
    <t>T</t>
  </si>
  <si>
    <t>Tryptophan</t>
  </si>
  <si>
    <t>W</t>
  </si>
  <si>
    <t>Tyrosine</t>
  </si>
  <si>
    <t>Y</t>
  </si>
  <si>
    <t>Valine</t>
  </si>
  <si>
    <t>V</t>
  </si>
  <si>
    <t>glutamine synthetase, type I</t>
  </si>
  <si>
    <t>cren1_8best_scaffolds_00016900</t>
  </si>
  <si>
    <t>MEDFVGRAIKILKENNIKWVDLQFTDVPGRFHHITVNASDFNEDSFKNGF
GKLDGSSIRGFTEIYESDLVLVPVPETFTVVPWNQGLARVISKVYWGGGQ
GRFERDPRYVAEIGEDYIHKQGYQAYFGPELEFFIFDKVELDISSPQGGT
GYKIYSREAPWSKSGSFFIRFKEGYYPVPPIDQLMDVRIEIIETLVKYFG
FTIETTHHEVATAGQGEIDFRYSTLVDTADKVQTLKYVMKNVAAKRGMIA
TFMPKPLYGDNGTGMHVHLSFWTKDGTRNLMYDPNESYAEISQLGRYAIG
GLLEHARSLSAIVSPTTNSYRRLVPGFEAPVYLVWSKSNRSSVIRVPTYY
KGMEKSKRIEFRAPDAACNPYLAFAAISLAALDGINKKIDPGDPIDENVY
RLGPEKRKQLEIGELPRSLDEALDELESDNEYLKPVFTSSVLNTYIEIKR
EECRALQQYPHPMEIYYYLDI</t>
  </si>
  <si>
    <t xml:space="preserve">ATGGAAGATTTTGTTGGAAGAGCAATAAAAATTCTAAAAGAAAACAATAT
CAAATGGGTTGACCTCCAATTTACGGACGTTCCAGGAAGATTTCATCACA
TAACAGTAAACGCAAGTGACTTTAATGAAGACTCTTTTAAGAATGGGTTT
GGAAAGCTGGATGGAAGCAGTATAAGAGGGTTTACAGAAATCTATGAGAG
CGATCTTGTTCTAGTTCCAGTTCCAGAAACTTTCACGGTTGTTCCTTGGA
ATCAAGGATTGGCAAGGGTTATTTCGAAGGTATATTGGGGAGGAGGACAA
GGGAGATTTGAAAGAGATCCCAGATATGTTGCAGAAATCGGAGAAGACTA
TATACACAAGCAAGGCTATCAAGCATATTTTGGACCTGAATTGGAATTCT
TTATTTTTGACAAGGTTGAACTTGATATTTCTTCACCCCAAGGAGGAACG
GGATACAAGATATATTCTAGAGAAGCTCCATGGTCAAAAAGTGGTTCATT
TTTCATAAGGTTCAAAGAAGGCTACTATCCAGTTCCACCTATAGATCAAC
TTATGGATGTAAGAATTGAAATAATTGAAACACTTGTTAAGTACTTTGGC
TTTACAATTGAAACAACTCATCATGAAGTTGCTACTGCAGGTCAAGGTGA
AATAGATTTCAGGTATTCTACCTTGGTTGATACTGCAGATAAAGTTCAAA
CTTTAAAGTATGTAATGAAAAATGTTGCAGCTAAAAGAGGAATGATTGCA
ACCTTTATGCCCAAGCCTTTATACGGAGATAATGGTACAGGTATGCATGT
GCATCTTAGCTTTTGGACAAAGGACGGTACTAGAAATCTAATGTATGATC
CTAATGAAAGTTATGCTGAAATTAGCCAATTAGGAAGATATGCTATAGGC
GGTCTTCTTGAGCATGCAAGGTCTCTTTCAGCTATTGTTTCTCCAACAAC
AAATAGCTACAGAAGATTAGTACCTGGTTTTGAAGCTCCTGTTTACTTAG
TTTGGAGTAAATCAAATAGAAGCTCTGTGATAAGAGTTCCCACATATTAT
AAAGGTATGGAAAAGTCAAAAAGAATAGAATTTAGGGCACCTGATGCTGC
TTGCAATCCATATCTCGCTTTTGCTGCAATCTCGTTAGCTGCATTGGACG
GAATAAATAAGAAAATAGATCCAGGAGATCCTATCGATGAAAATGTATAC
AGGCTAGGCCCTGAAAAAAGAAAGCAACTTGAAATCGGAGAACTTCCACG
ATCATTAGATGAAGCATTGGACGAACTTGAATCAGACAATGAATACTTAA
AGCCTGTATTTACTTCCTCCGTTTTAAATACATACATAGAAATAAAGAGA
GAGGAATGCAGGGCTCTTCAACAATATCCACATCCAATGGAAATATACTA
TTACTTGGATATCTAG
</t>
  </si>
  <si>
    <t>6.3.1.2</t>
  </si>
  <si>
    <t>aspartyl-tRNA synthetase, archaeal type</t>
  </si>
  <si>
    <t>cren1_8best_scaffolds_00007490</t>
  </si>
  <si>
    <t xml:space="preserve">MKNFYIKDAEHFIGKKVNLYGWVHEIRETGNFIFIVVRDSTGKLQITIRK
KDFPEKLVEIAKNLHHEDVIGVNGLLIRSEIAKLGIEIIPDEIYIINSAK
HPLLLDVTGKVDAELSTILDGRFLSLRREDYFSIFKIQSELLRQIREYLY
QRDFTEIISPKIIKFATEGGAELFKIDYFEEKAYLAQSPQIYKEMCAGVF
EKVFEIGQYYRAEKSRTPYHLSEFISFDVECAFYSYQDIMDLLESLLKEV
INVTYERASKHFDALKVNRINLDYKFERIKYEEVIGMLEKYGLKWGDDIS
SQYMKLIEEKIGKKFYFITDWPTILKPFYTYEHENNRNLTKSFDLNYGFL
EIASGGERIYKSEQIVEKLKRFGLNVENFETYIKALEAGAPPHAGFGLGL
SRLLMILTGKKNIKEVVLFPRDVDRLVP
</t>
  </si>
  <si>
    <t>ATGAAGAATTTTTATATTAAAGACGCTGAACACTTCATTGGAAAAAAAGT
TAATCTTTATGGGTGGGTTCATGAAATAAGAGAGACTGGAAATTTCATAT
TTATAGTTGTAAGAGATTCTACAGGGAAACTTCAGATTACTATAAGGAAA
AAGGATTTTCCTGAAAAGCTAGTCGAGATTGCAAAAAATTTGCATCATGA
AGATGTAATAGGAGTTAATGGGCTGTTAATAAGGTCAGAGATTGCCAAAC
TAGGTATTGAAATTATACCTGATGAAATATACATCATAAATAGTGCTAAA
CATCCTTTGTTACTTGACGTAACGGGTAAAGTCGATGCTGAATTAAGCAC
TATACTTGATGGAAGGTTCCTTTCTTTAAGGAGAGAAGATTATTTCTCAA
TATTTAAAATTCAGTCTGAACTGTTGAGACAAATAAGAGAATATTTATAT
CAACGTGATTTTACCGAAATTATTTCGCCAAAAATAATTAAATTTGCAAC
GGAAGGAGGAGCTGAACTTTTTAAAATTGATTACTTTGAAGAAAAAGCAT
ACCTTGCACAAAGTCCGCAGATATATAAAGAAATGTGTGCAGGCGTATTT
GAAAAAGTGTTCGAAATAGGTCAATACTACAGGGCCGAAAAGTCACGAAC
GCCTTATCACTTATCAGAATTTATATCGTTTGATGTTGAGTGTGCTTTTT
ATTCTTATCAAGACATTATGGACCTTCTTGAATCTCTTTTGAAGGAGGTT
ATTAATGTAACTTATGAAAGAGCTTCTAAGCATTTCGACGCATTAAAAGT
AAACAGGATAAATTTGGATTACAAATTTGAAAGGATAAAGTATGAGGAAG
TTATAGGAATGCTAGAAAAATATGGATTAAAATGGGGTGATGACATAAGT
TCACAATATATGAAATTGATAGAAGAAAAAATTGGAAAAAAATTCTATTT
TATAACCGATTGGCCTACTATACTTAAGCCGTTTTACACTTATGAGCATG
AAAATAACAGAAATCTAACGAAATCTTTTGACTTAAATTATGGATTTTTA
GAGATAGCTTCAGGAGGAGAGAGAATATATAAAAGTGAGCAAATTGTTGA
AAAACTCAAAAGATTTGGCTTGAACGTTGAAAATTTTGAAACTTATATAA
AGGCTTTAGAAGCCGGCGCTCCTCCACATGCAGGATTTGGTTTAGGTTTA
TCAAGACTTCTTATGATATTAACGGGTAAAAAAAACATAAAGGAGGTAGT
TTTATTTCCAAGGGATGTAGATAGATTGGTTCCGTAG</t>
  </si>
  <si>
    <t xml:space="preserve">Asp-tRNAAsn/Glu-tRNAGln amidotransferase A subunit and related amidases
</t>
  </si>
  <si>
    <t>cren1_8best_scaffolds_00017460</t>
  </si>
  <si>
    <t>MQKEVLDFLKQLEKSKVLDETFLLKELYEITQGKSPVEIVSKSIEKAERE
TIRYNDFITITKELALDQANKLENGMLKKLQISNLAGIPISLKDIIYTTF
ARTTMASKIFSDYIPEYNAEIVNKLISEDSCIIGKTNLHEFASGITGLSS
YFGPAHNPYDISRIAGGSSSGSAVSVATGSSLVSIGTDTRGSIRVPASFC
GIVGFKPTYNTVSTEGIFPLAPSFDTVGIMTKRVLDAAYVYYLISKEKFD
LASLINEIEPSRIKIAYINNKESEVEKQIDKDIEKLRSEGIEFNEIDLNI
SEMSELHRIIRLVEASEIHEKIYTKRKGDYAEDVAKLIEDGLKITAVEYV
RAQKLRDYYLKLLQRIFKSYDVVLTPTVYNIAPKIEEFKNVDIHLQFRAK
STFYISFPSYLGLPAISLPIGKYNDLPYGIQVTSDLRKDSDLLNLSYNLE
KIIKFFNE</t>
  </si>
  <si>
    <t xml:space="preserve">ATGCAAAAAGAGGTTCTCGATTTTTTAAAACAGCTCGAAAAAAGTAAAGT
TCTAGATGAAACGTTCCTTTTAAAGGAACTTTATGAGATAACCCAAGGGA
AGTCGCCTGTAGAAATTGTTTCTAAGAGCATAGAGAAAGCTGAGAGAGAA
ACAATAAGATACAATGATTTCATTACAATTACTAAAGAATTAGCTTTAGA
TCAAGCAAACAAATTAGAGAATGGAATGCTTAAAAAACTACAGATTTCTA
ACTTAGCAGGTATTCCAATCTCTTTAAAGGATATCATATATACAACCTTT
GCAAGAACAACGATGGCCTCAAAAATATTTTCTGATTACATACCTGAGTA
TAATGCGGAAATAGTTAACAAATTAATTTCTGAAGATTCATGTATAATCG
GAAAAACAAATTTGCATGAATTTGCATCGGGGATAACAGGTTTGAGCTCA
TACTTTGGTCCTGCACATAATCCGTATGATATTTCAAGGATAGCTGGAGG
TTCAAGTAGTGGATCAGCAGTATCTGTAGCTACAGGTTCTTCATTAGTTT
CTATTGGAACAGATACTAGAGGATCTATAAGAGTACCTGCTTCATTCTGT
GGTATAGTTGGTTTCAAGCCAACTTATAATACTGTTAGTACAGAAGGAAT
ATTTCCATTAGCACCTAGCTTTGATACCGTTGGGATTATGACAAAAAGAG
TATTGGATGCAGCGTATGTTTACTACTTAATATCTAAAGAAAAATTTGAT
TTAGCTAGTTTAATAAACGAGATTGAACCTAGTAGGATTAAGATAGCTTA
CATAAATAATAAAGAGAGTGAAGTTGAAAAGCAAATAGACAAGGATATTG
AAAAGCTAAGATCTGAAGGGATTGAATTTAATGAAATAGATCTAAATATT
AGCGAAATGAGCGAACTTCATAGAATAATTAGATTAGTAGAAGCTTCTGA
AATACATGAAAAAATATATACGAAAAGAAAAGGAGATTACGCGGAAGATG
TTGCAAAGTTGATAGAAGATGGACTAAAGATTACAGCCGTAGAATACGTT
AGAGCTCAAAAGTTAAGAGATTATTATCTCAAATTATTGCAAAGAATATT
CAAAAGCTATGATGTTGTTCTCACACCTACCGTTTATAATATTGCTCCAA
AAATTGAGGAATTCAAAAATGTCGATATTCATCTTCAATTTAGAGCTAAA
TCGACTTTTTACATAAGCTTTCCGAGCTATTTAGGTCTTCCCGCCATCTC
TTTACCGATAGGAAAATACAATGATTTACCTTATGGTATTCAAGTAACTT
CAGACTTAAGAAAAGATTCTGACCTATTGAATTTATCTTATAATTTAGAA
AAAATAATAAAATTTTTTAACGAATAA
</t>
  </si>
  <si>
    <t xml:space="preserve">glutamyl-tRNA(Gln) amidotransferase, subunit E
</t>
  </si>
  <si>
    <t>cren1_8best_scaffolds_00009480</t>
  </si>
  <si>
    <t>MKYDYRSIGLRVGLEVHQQLDTKSKLFCNCPTILEEEIEASIKRKLRPTK
SELGEIDPAAIMEFKHNRTYIYQITKNSTCLVELDEEPPHSINQEAVEIA
LTVAMLLNSNILDEIHVMRKEVIDGSNTTGFQRTAVVALGGYLEDENEKV
GIETITLEEDASRKIEEGRDYVVYRLDRQGIPLIEIATTSYINDPEKAKR
IAYKIGLILRSTGKVKRGIGTIRQDINISIARGAKTEIKGIQELGLIPKV
IEYEIERQLKLLELKDKLNERNVPKPEINLIDITELFKDTKSNLIRRSIE
KGEKIYLQKLYKMKGLLGFQIQPNRRFASELADYVINWTTLQGIIHSDEL
PNYGITQEEVKKVYDYAGLDYENDAFIIVLGKEEECREAMNIVIERIRYA
FIGVPEETRNAQPDGTTRYSRPRPGSARMYPETDIPPFVVKKELLEKIKN
NLPEKIEDRIKYLKSKYEISQQLAQELVDSQTEDLFEKLCSLQIKPTIVA
TTLTETMKYLKRMGINIEAINENKFFKIFSLLKEEKIAKESLEELITYLA
KNPSSSVDEAVEKLNLMILSRAEVEKIIDNIISENINVIKERKEKAVDLT
MKILMSKFRGKVNASEAYNMIKEKLKNLGIV</t>
  </si>
  <si>
    <t xml:space="preserve">ATGAAGTACGACTATCGATCAATTGGTTTAAGGGTAGGTTTAGAAGTCCA
TCAACAGTTGGATACAAAAAGTAAATTGTTTTGTAACTGTCCTACAATTC
TAGAGGAGGAAATAGAAGCAAGTATTAAAAGGAAGCTTAGACCAACAAAA
AGCGAACTTGGAGAAATAGATCCTGCTGCAATAATGGAATTTAAGCATAA
CAGAACATACATTTATCAAATTACCAAAAATTCAACTTGTCTTGTTGAAT
TAGATGAAGAACCGCCGCATAGTATAAACCAAGAAGCTGTAGAGATCGCA
TTGACTGTTGCAATGCTATTAAACAGCAACATTCTTGATGAAATACATGT
GATGAGGAAGGAGGTAATAGATGGAAGTAATACAACGGGATTTCAGAGGA
CTGCTGTAGTAGCCTTAGGTGGATATTTAGAAGATGAAAATGAAAAAGTT
GGAATAGAAACAATTACATTAGAAGAAGATGCATCAAGGAAAATAGAAGA
AGGAAGAGACTATGTAGTATATAGACTGGATAGACAAGGCATACCTTTAA
TTGAAATAGCTACAACTTCCTATATAAACGATCCTGAAAAAGCAAAAAGA
ATCGCCTATAAAATAGGCTTAATATTAAGAAGTACAGGTAAAGTTAAAAG
AGGAATAGGAACTATAAGACAGGACATTAACATATCTATAGCTAGAGGGG
CAAAAACTGAAATCAAAGGAATACAAGAGCTCGGATTAATACCTAAAGTA
ATTGAGTATGAAATAGAAAGGCAACTGAAACTTCTAGAACTTAAGGATAA
GCTTAATGAAAGAAATGTACCAAAGCCTGAAATAAATCTAATTGATATTA
CAGAACTTTTTAAGGATACCAAAAGCAATCTAATTAGAAGATCAATTGAA
AAAGGGGAGAAAATTTATTTACAAAAGCTGTATAAAATGAAGGGATTATT
AGGATTCCAAATTCAACCAAATAGAAGATTCGCTTCAGAACTTGCTGATT
ATGTAATAAATTGGACTACATTACAAGGAATTATTCATAGTGATGAACTA
CCTAATTATGGTATAACACAAGAAGAAGTTAAAAAGGTATATGATTACGC
AGGGTTAGATTACGAAAATGATGCATTTATAATCGTTCTGGGAAAAGAAG
AGGAATGCAGAGAAGCTATGAATATAGTAATAGAAAGAATACGATATGCC
TTTATTGGAGTACCTGAAGAAACAAGGAATGCACAGCCTGATGGAACAAC
AAGATATTCAAGACCTAGGCCTGGATCTGCTAGGATGTATCCAGAAACAG
ACATACCGCCTTTTGTGGTAAAAAAAGAATTATTAGAAAAAATCAAGAAT
AATCTTCCTGAAAAAATAGAGGATAGAATAAAGTACCTCAAATCAAAATA
CGAAATAAGTCAACAGCTAGCCCAGGAACTTGTTGATTCACAGACTGAAG
ATCTGTTCGAGAAGCTTTGTAGTTTGCAAATTAAGCCTACGATAGTTGCT
ACAACTTTAACTGAAACTATGAAATACTTAAAAAGAATGGGTATAAACAT
AGAGGCTATAAACGAAAACAAATTCTTCAAAATATTTTCACTTTTGAAAG
AAGAAAAAATAGCTAAGGAATCTCTAGAAGAATTGATAACATATCTTGCA
AAAAATCCAAGTTCAAGCGTAGACGAGGCTGTTGAAAAACTTAATCTAAT
GATTTTATCTAGAGCAGAAGTTGAAAAAATAATAGATAATATAATTTCAG
AAAACATAAACGTAATTAAGGAACGTAAAGAAAAAGCGGTCGATTTAACC
ATGAAGATTCTAATGAGTAAATTTAGAGGTAAAGTAAATGCTTCAGAAGC
TTACAACATGATTAAAGAAAAACTAAAAAACTTAGGAATAGTTTAA
</t>
  </si>
  <si>
    <t>6.1.1.- / 6.3.5.6 / 3.1.1.29</t>
  </si>
  <si>
    <t>2.3.1.9</t>
  </si>
  <si>
    <t>acetyl-CoA acetyltransferases</t>
  </si>
  <si>
    <t>cren1_8best_scaffolds_00003120</t>
  </si>
  <si>
    <t xml:space="preserve">MSNEVYLVDYIRTAFSRSRPKEPEKDVFNSLRMDEALAKLINHVIEKNSI
NPNEIDDVITGCAMQAGENYLYGGRHPVLLANLPISVPGVAVERACSSSM
MAISIGAMEIMSGNSEIVLAGGIEHMTHVPMSDNPCIMPNFKLLLRPEYM
KYQMNIAYSMGLTAEKLAEESGITKDEMDEYALRSHKLAYQSLQEGWFKG
EILPIQVEYKGELIIVDKDQSIRGDANLEQIKKLPPAFKEGGVITAGNSS
PLNAGASLVLLMSEKKVNEYGLKPLAKIKGFSWVGVEPQVMGKGPVPATK
KLLRKFKLEAGDIDYWEINEAFAVVVLFAINELGLDLSKVNIHGGAIAIG
HPLGATGARIVGTLARILKEKGKNLGIATLCVGGGQGFSMLIERT
</t>
  </si>
  <si>
    <t xml:space="preserve">ATGAGCAACGAAGTTTATCTTGTTGATTATATAAGAACAGCTTTCTCGAG
ATCAAGACCAAAAGAACCTGAGAAAGATGTTTTCAATTCACTAAGAATGG
ATGAAGCTTTAGCAAAGCTAATAAACCACGTAATAGAGAAAAACTCGATA
AATCCAAATGAAATAGATGATGTAATAACAGGATGCGCTATGCAGGCAGG
AGAAAATTATCTTTATGGAGGTCGACATCCTGTCCTTTTGGCAAACTTGC
CAATTAGTGTTCCAGGAGTGGCTGTTGAAAGGGCATGTTCTTCATCCATG
ATGGCAATATCAATAGGTGCTATGGAGATAATGAGTGGGAATTCAGAAAT
AGTTTTGGCTGGAGGAATAGAACATATGACGCATGTTCCCATGTCTGATA
ATCCTTGCATAATGCCTAACTTTAAGCTTCTATTGAGACCTGAATACATG
AAATATCAAATGAACATTGCTTATTCAATGGGTTTAACTGCTGAGAAGTT
AGCGGAAGAAAGTGGGATAACTAAAGATGAAATGGACGAATATGCTTTAA
GAAGTCATAAGCTAGCTTATCAATCTCTTCAGGAAGGCTGGTTTAAAGGC
GAAATATTGCCCATACAGGTTGAGTATAAGGGGGAGCTTATTATAGTTGA
TAAGGATCAAAGTATAAGAGGCGATGCAAACCTTGAACAAATTAAGAAGT
TACCTCCCGCGTTTAAAGAAGGAGGAGTAATAACAGCTGGAAATTCATCT
CCTCTTAATGCAGGAGCTTCTTTGGTTTTGCTTATGTCCGAGAAAAAGGT
GAATGAATATGGATTAAAGCCTTTGGCAAAAATAAAGGGTTTTTCTTGGG
TAGGCGTAGAGCCACAGGTAATGGGGAAAGGGCCTGTTCCTGCAACAAAA
AAGTTGTTGAGGAAGTTTAAGCTTGAAGCTGGAGATATAGACTATTGGGA
AATTAACGAAGCGTTTGCTGTAGTTGTTCTATTTGCTATTAATGAACTTG
GATTAGATTTAAGTAAGGTTAATATACACGGAGGCGCAATAGCAATCGGT
CATCCCTTAGGTGCTACAGGAGCTAGAATCGTTGGCACGCTTGCAAGAAT
ATTGAAAGAAAAAGGGAAGAATCTGGGAATAGCAACTCTTTGTGTAGGAG
GTGGTCAAGGCTTTTCAATGCTGATTGAAAGAACATGA
</t>
  </si>
  <si>
    <t>2.3.3.10</t>
  </si>
  <si>
    <t>hydroxymethylglutaryl-CoA synthase, putative</t>
  </si>
  <si>
    <t>cren1_8best_scaffolds_00005710</t>
  </si>
  <si>
    <t xml:space="preserve">MKPAYSVSIIGYGAYVPIRRIKALEIARIWGKSDKLLPLEEKAVAALDED
TATMAVEAAQNAIIRAGINPREIGAVFVGTESKIYTVKPTATVVAEALGI
TPLTLASDYEFACKAGTEATQTCIGLVGSGMVKAALAIGSDIARGRPGDE
LEYTAGAGAAALILSRSKLYDDIAEVEGSLSYVTDTPDFWRREGQIYPMH
YYRFTGEPAYFSHIKEAASRLMNELGLKPSDFKYAVFHQPNSKFPQEVAR
SLGFSIEQIKPGLLVPLIGNSYAASSLIGLTAVLDIAKPGDRILLASFGS
GAGSDAMSIIVKDGIESKRDLTPKTMDYIMRRRYVDYALYAKHRSKYNK
</t>
  </si>
  <si>
    <t>ATGAAACCTGCTTATTCAGTATCGATAATAGGTTACGGTGCTTACGTTCC
TATAAGAAGGATTAAGGCACTTGAAATAGCTAGAATCTGGGGCAAAAGTG
ATAAATTATTGCCCTTAGAAGAAAAGGCGGTCGCTGCTTTAGATGAAGAT
ACAGCAACAATGGCTGTAGAAGCTGCACAAAACGCTATAATTCGTGCAGG
AATTAACCCGAGAGAAATAGGTGCTGTATTCGTTGGAACTGAATCGAAGA
TATATACTGTAAAGCCTACAGCTACCGTTGTTGCTGAGGCTTTAGGGATT
ACACCTCTTACTTTAGCTTCAGATTATGAATTTGCCTGTAAAGCAGGCAC
CGAAGCAACACAAACTTGTATTGGCCTAGTAGGTTCCGGCATGGTAAAAG
CAGCTTTAGCAATAGGTTCAGATATAGCAAGGGGGAGGCCAGGAGATGAG
CTTGAATATACAGCGGGTGCAGGTGCAGCTGCGTTGATCTTATCAAGATC
TAAATTATATGATGACATTGCTGAGGTAGAAGGATCTTTATCATATGTAA
CTGATACTCCAGATTTTTGGAGGAGAGAGGGTCAAATTTATCCGATGCAT
TATTACAGATTTACAGGAGAACCTGCTTACTTTTCCCATATAAAAGAGGC
AGCATCAAGACTTATGAATGAGCTTGGTTTAAAGCCAAGTGATTTTAAAT
ACGCAGTTTTTCATCAACCAAATTCAAAGTTTCCTCAAGAAGTGGCCAGA
TCTTTAGGCTTTAGTATAGAGCAAATCAAGCCAGGTTTGCTTGTTCCTCT
CATAGGAAATTCTTATGCAGCTTCTTCTCTTATTGGTTTAACAGCTGTAT
TAGATATTGCTAAGCCAGGAGACAGGATTCTTTTAGCTTCATTTGGTTCA
GGAGCAGGAAGTGATGCAATGTCAATAATAGTAAAAGATGGAATCGAAAG
TAAGCGAGATCTTACTCCAAAAACAATGGATTATATAATGAGAAGAAGAT
ACGTTGATTATGCTTTGTATGCAAAACATCGAAGTAAATACAATAAATAA</t>
  </si>
  <si>
    <t>1.1.1.34</t>
  </si>
  <si>
    <t>3-hydroxy-3-methylglutaryl Coenzyme A reductase, hydroxymethylglutaryl-CoA reductase (NADP)</t>
  </si>
  <si>
    <t>cren1_8best_scaffolds_00009840</t>
  </si>
  <si>
    <t>MELELISKLDSGEIKLYEIEKLTKDVNKAAEIRRKFIERKTGIRMDHIGN
YSIDLNLTLNRNIENSIGCVQIPVGIVGPLKVKGDYANGDFYIPIATTEG
ALVASVNRGCSALNEGGGVYTKIIDDKMSRAPLLKVKNIRHALEVLEWIK
EHYKQIKEVFESKSKHLKLKDIKHWIIGKNLWLRFEADTGDAMGMNMVTI
ASDLATQYIIENNKDVKILALSGNLCTDKKTSAINWILGRGKTVIAEATI
PREVVKRKLKTTPEEAADVAMRKNILGSAFVHSYGLNAHFSNVIAGIFLA
TGQDAAQIVESSMGISNAEVDEEGDLYVSVYLPSLEVGTVGGGTHLPTQA
ECLKILNCYGSGEPPGSNSKKFAEIIAAATLAGEVSLLSALAAGHLAKAH
EKLGKQKA</t>
  </si>
  <si>
    <t>ATGGAATTGGAGCTTATCAGTAAACTAGATAGTGGAGAAATAAAGCTGTA
TGAAATTGAGAAACTTACTAAAGACGTTAACAAGGCTGCAGAAATAAGAA
GGAAGTTTATTGAAAGAAAAACAGGCATTCGAATGGATCATATAGGAAAC
TATTCGATAGATTTAAACTTGACTTTGAATAGAAACATTGAAAACAGTAT
AGGATGCGTTCAAATACCCGTTGGAATAGTTGGTCCTTTAAAAGTAAAAG
GTGATTACGCAAACGGAGATTTCTATATTCCTATTGCTACAACTGAAGGA
GCTTTAGTAGCTAGTGTAAACAGAGGATGCTCAGCTTTAAACGAAGGAGG
TGGCGTTTATACCAAAATAATAGACGATAAAATGAGTAGGGCTCCGCTTT
TAAAAGTAAAGAATATTAGACATGCTTTGGAAGTCTTGGAATGGATTAAA
GAACATTATAAACAGATAAAAGAAGTTTTTGAAAGCAAATCTAAACATTT
AAAGCTTAAAGATATCAAGCATTGGATTATCGGCAAAAATCTTTGGTTAA
GATTCGAAGCAGATACAGGTGATGCAATGGGAATGAACATGGTTACTATT
GCCTCAGATTTGGCTACACAATACATAATTGAGAACAATAAAGATGTTAA
AATACTAGCATTAAGCGGAAATCTTTGTACAGATAAAAAAACCAGCGCAA
TAAACTGGATTTTAGGCAGAGGTAAAACAGTAATAGCTGAGGCAACAATT
CCTAGAGAAGTCGTTAAAAGAAAACTAAAGACCACACCTGAGGAGGCAGC
TGATGTTGCTATGAGAAAAAATATACTAGGAAGCGCTTTTGTTCATAGCT
ATGGTCTTAATGCACACTTCTCTAACGTAATAGCTGGAATATTTTTAGCT
ACTGGACAAGATGCAGCTCAAATCGTTGAATCATCTATGGGAATAAGCAA
TGCAGAAGTGGATGAAGAAGGCGATCTCTATGTTAGTGTTTATTTGCCAT
CGCTAGAAGTAGGAACTGTTGGTGGAGGAACTCATTTACCAACACAAGCA
GAATGTTTAAAAATTCTTAATTGCTATGGTTCAGGAGAGCCTCCAGGATC
CAATTCAAAGAAATTTGCTGAAATTATAGCCGCAGCTACACTGGCTGGCG
AAGTTTCATTGCTTTCTGCTTTAGCTGCTGGACATTTAGCCAAAGCTCAC
GAAAAATTGGGAAAACAAAAGGCTTGA</t>
  </si>
  <si>
    <t>2.7.1.36</t>
  </si>
  <si>
    <t>mevalonate kinase</t>
  </si>
  <si>
    <t>cren1_8best_scaffolds_00005270</t>
  </si>
  <si>
    <t xml:space="preserve">LSTARAPSKIIISGEHFVVEGAPALVAAINLHAEATVEERYDNYIRVETE
YEGDKLVVKSTFNEKILDYAGGEYAKKFLRPVLRTVRKTFEYIEKYEGLN
IFISSNIPPSSGFGSSAAVLVATSGAIFKKLVGYINKETVWKAAFEGERI
VHKTPSGVDITISTYGGMLIYRKGEKPMFLERNDKAIFIIGSVGKRKPTG
KLVENVLRLKSEFPSIINPIYISANSLPIKIAEFLKKNDLVNAGRLININ
HELLSALGVSTPRLDFFVNLARRKGAYGSKLTGAGGGGAFFALVDEEKVE
KVKLSLAKRLKNISEVKIEEEGIK
</t>
  </si>
  <si>
    <t xml:space="preserve">TTGAGCACTGCAAGAGCTCCTTCAAAAATTATAATAAGCGGAGAACATTT
TGTGGTAGAAGGTGCTCCAGCTTTGGTTGCTGCAATAAATTTGCATGCTG
AAGCGACGGTTGAAGAAAGATATGATAATTACATAAGGGTAGAAACAGAA
TACGAAGGTGATAAGCTTGTTGTAAAAAGCACATTCAATGAAAAAATCTT
AGATTATGCAGGAGGAGAATATGCAAAGAAATTTCTAAGACCAGTTTTAA
GAACTGTAAGAAAGACCTTTGAATATATTGAAAAATATGAAGGACTTAAC
ATTTTTATTTCCTCAAATATTCCTCCTTCTTCAGGATTTGGTTCAAGCGC
TGCAGTACTTGTAGCTACTTCTGGAGCTATTTTTAAAAAGTTGGTAGGAT
ACATAAATAAAGAAACTGTTTGGAAAGCTGCCTTTGAAGGTGAAAGGATT
GTGCATAAGACACCTTCAGGAGTAGATATTACTATAAGCACCTATGGAGG
AATGTTAATTTATAGAAAAGGTGAAAAACCTATGTTCTTGGAGAGAAATG
ACAAGGCAATTTTTATAATTGGTTCTGTTGGAAAAAGAAAACCTACAGGT
AAGCTTGTTGAAAACGTGTTAAGGTTAAAGTCTGAATTCCCTTCAATAAT
AAACCCAATTTATATATCCGCAAATTCTTTACCAATAAAAATAGCTGAAT
TCTTAAAAAAGAACGATTTAGTAAATGCAGGAAGACTGATTAATATAAAC
CATGAGTTGTTATCAGCGCTGGGAGTTTCGACACCTAGGCTAGATTTCTT
TGTTAATCTTGCAAGAAGAAAAGGCGCATATGGATCAAAGTTGACCGGGG
CAGGAGGTGGAGGTGCATTTTTTGCCCTCGTTGATGAAGAAAAAGTGGAA
AAGGTTAAATTGAGTTTAGCAAAAAGACTAAAAAATATAAGTGAAGTTAA
AATAGAGGAAGAGGGTATAAAGTAG
</t>
  </si>
  <si>
    <t>2.7.4.26</t>
  </si>
  <si>
    <t>Predicted archaeal kinase</t>
  </si>
  <si>
    <t>cren1_8best_scaffolds_00005260</t>
  </si>
  <si>
    <t xml:space="preserve">VESVVVKLGGSVITKKDEPLKERIEVINNLANQISTVCNDLRLCIVHGGG
SFGHYVAKKYAIHQGLPRIKIGLSMLEMEMRRLNLIIANSLINHGVPVIQ
FSPIDIFISKGDAVVNFFNESIKISLDLGYIPLLYGDVIFDYDKGCRILS
GDQICLEMAKLISAKKIVFCMDATGVYDKDPKKYNDAKLIRKIESKELEL
LINNLSKSDDVTGGIVNKLKVAHEASKLGIKTIFISGFSHNMLKKVLKNE
EFIGTEIY
</t>
  </si>
  <si>
    <t xml:space="preserve">GTGGAATCTGTTGTAGTTAAATTAGGAGGTTCTGTTATAACTAAAAAAGA
TGAACCTCTTAAAGAAAGGATAGAGGTTATTAACAATCTAGCAAATCAAA
TATCGACAGTTTGTAATGATTTAAGGCTTTGCATCGTTCATGGAGGAGGC
TCATTTGGGCACTATGTAGCTAAGAAATATGCAATTCATCAAGGCTTACC
TAGAATAAAAATAGGATTATCAATGCTGGAAATGGAGATGAGAAGGCTTA
ATTTAATAATAGCTAATTCTTTGATAAACCACGGAGTTCCAGTTATTCAA
TTCTCTCCCATAGACATTTTTATTAGTAAAGGCGATGCAGTAGTAAATTT
CTTCAATGAATCGATAAAGATTTCATTAGATCTTGGATATATTCCTTTAT
TATACGGAGATGTGATTTTTGATTACGATAAAGGGTGTAGAATACTTTCA
GGAGACCAAATTTGCTTAGAAATGGCAAAATTAATTTCAGCTAAAAAGAT
AGTTTTTTGCATGGATGCTACAGGAGTTTATGATAAAGATCCGAAAAAAT
ACAATGATGCAAAACTTATTAGAAAAATTGAGTCGAAGGAACTTGAGCTT
CTTATTAACAACTTATCAAAAAGTGATGACGTAACAGGAGGTATCGTGAA
TAAGCTTAAAGTAGCACATGAAGCCTCAAAATTAGGTATCAAAACGATAT
TTATTAGCGGATTTTCCCATAATATGTTAAAAAAAGTGTTAAAAAATGAA
GAGTTTATAGGCACGGAAATATATTAA
</t>
  </si>
  <si>
    <t>5.3.3.2</t>
  </si>
  <si>
    <t>2.5.1.1</t>
  </si>
  <si>
    <t>2.5.1.10</t>
  </si>
  <si>
    <t>2.5.1.29</t>
  </si>
  <si>
    <t>2.5.1.81</t>
  </si>
  <si>
    <t>1.1.1.261</t>
  </si>
  <si>
    <t>Geranylgeranyl pyrophosphate synthase</t>
  </si>
  <si>
    <t>cren1_8best_scaffolds_00005250</t>
  </si>
  <si>
    <t>MSLDFNEIKNYADFFNRRIIEHFNEIEPEILKKSSLHILVNGGKRLRPFI
LSKIANFYGMDFESSFPASASVELIHNFSLIHDDIMDKDKIRHGKPTVHE
AYGLDFAILSGDLLFALAFKSLQMLKGKVKKDRILKSYNELSSATVKLAI
GQGLDIHLSRNKIFDQNKTIKMIQYKTSALFEASCVIGALISNAKMKEVE
KIRKFARYSGIAFQIKDDILGTFGDEKITGKPVGNDLREGKKTLIVIHAF
NHGNSLLKNKLEKVLGNPLASNDDIKSLIDDLKTIGSYDYAMEKSKYYLN
LAKRHLEDLRKDLADFLYSFGEFLVERNY</t>
  </si>
  <si>
    <t>ATGTCCTTAGATTTTAACGAGATTAAAAATTATGCTGATTTTTTCAATAG
AAGAATTATTGAGCATTTTAACGAAATAGAGCCTGAAATACTTAAAAAAT
CCTCATTGCATATCCTCGTTAATGGAGGTAAAAGGCTAAGACCTTTTATC
CTTTCAAAGATAGCTAATTTTTACGGAATGGATTTTGAATCTTCCTTCCC
AGCATCTGCTTCAGTAGAACTTATTCATAACTTTAGTCTAATACATGATG
ACATAATGGATAAGGACAAAATTAGACACGGTAAGCCTACTGTACATGAG
GCATACGGCCTAGATTTTGCAATTCTTTCTGGAGATTTACTTTTTGCTTT
AGCTTTCAAATCCCTTCAAATGTTAAAAGGTAAAGTTAAAAAAGATAGGA
TTTTGAAAAGTTACAATGAACTTTCGAGCGCTACAGTTAAGCTAGCAATT
GGTCAAGGATTGGATATTCATCTTTCAAGAAACAAGATTTTTGATCAAAA
TAAAACTATAAAAATGATACAATATAAAACTTCAGCTCTCTTTGAAGCAA
GCTGTGTAATAGGAGCATTGATATCAAATGCAAAAATGAAAGAGGTTGAA
AAAATAAGGAAGTTTGCAAGATATTCAGGTATAGCTTTCCAAATTAAGGA
TGATATTCTTGGAACTTTTGGAGATGAGAAAATTACGGGAAAGCCTGTAG
GAAACGATTTAAGGGAAGGAAAGAAAACTTTGATAGTTATTCATGCTTTT
AATCATGGAAATTCCTTATTGAAAAATAAACTTGAAAAAGTTTTAGGTAA
TCCATTGGCTTCAAATGATGATATAAAATCTTTAATTGACGATTTAAAAA
CTATAGGTTCATACGACTATGCCATGGAAAAATCAAAATACTATCTTAAC
TTGGCAAAAAGGCATTTAGAAGATTTAAGGAAAGATTTAGCTGATTTTCT
TTATTCATTTGGTGAATTTTTAGTTGAGAGGAATTATTAA</t>
  </si>
  <si>
    <t>Glycerol dehydrogenase and related enzymes</t>
  </si>
  <si>
    <t>cren1_8best_scaffolds_00012020</t>
  </si>
  <si>
    <t xml:space="preserve">VLTGPGIVKGIEKVFNYLKIKNVKILLISGDTYTKDIALDIVKSEVEKCN
NYVEHISIEAFDHVIKNLNEIAHKVKDEKINLLIGVGGGKAIDSAKLIAW
YTNKSYISFPTNISHDGISSPSISYLISIKLKEKYGINFELKSPLAIIAD
TDIILKNLKNSLPAGVGDLVAKFTAVKDWRLTHLLKGEEYSEYAASMALM
SAKIVERNMEVISKYNEESVSILLKALIGSGIAIAVAGSSRPASGSEHLF
SHSLDLIAEKEGFSPAQHGVQCGIGTIIMAILHGTRWRKIREILQKVKAP
VNAKELGIEPKYLIKALTISNKIRKDRYTILGDLEITESSAEKLLKKAEV
I
</t>
  </si>
  <si>
    <t xml:space="preserve">GTGCTAACAGGGCCAGGCATTGTAAAAGGAATTGAAAAAGTTTTCAATTA
CCTAAAGATAAAGAATGTAAAAATTTTATTAATATCTGGAGATACATACA
CGAAAGATATCGCTCTAGATATCGTTAAAAGCGAAGTAGAAAAATGCAAT
AATTACGTTGAACATATTTCCATAGAAGCCTTCGATCATGTAATAAAGAA
CTTGAATGAGATTGCACACAAAGTAAAAGATGAAAAAATAAACCTTCTTA
TTGGTGTAGGAGGAGGTAAAGCAATAGATTCAGCAAAGCTGATTGCTTGG
TATACAAATAAATCATACATTAGTTTTCCAACGAATATTTCCCATGATGG
AATATCTTCCCCTTCCATTTCTTATTTAATATCAATTAAACTCAAAGAAA
AATACGGTATAAATTTTGAATTGAAATCTCCTTTAGCAATAATTGCTGAT
ACTGATATAATCTTGAAAAACTTGAAAAATAGCTTGCCTGCAGGAGTGGG
AGATCTCGTTGCAAAATTCACAGCCGTAAAGGATTGGAGGCTAACCCATC
TTTTGAAAGGTGAAGAATACAGCGAATATGCTGCATCAATGGCTTTAATG
AGCGCAAAAATAGTGGAAAGGAACATGGAAGTTATATCAAAATATAATGA
AGAATCTGTCTCAATTCTTCTTAAAGCTTTAATAGGAAGTGGAATAGCAA
TTGCTGTTGCTGGAAGTTCAAGGCCAGCTAGCGGTTCCGAACATCTTTTT
AGTCATTCATTGGATCTAATTGCTGAAAAGGAAGGATTTAGTCCTGCTCA
ACATGGAGTACAGTGTGGAATAGGGACAATTATCATGGCTATTTTGCACG
GAACTAGATGGAGAAAAATAAGAGAAATTCTACAAAAAGTAAAGGCTCCA
GTAAATGCAAAAGAACTAGGAATAGAGCCTAAGTATCTGATAAAAGCCTT
AACAATATCGAATAAAATAAGGAAAGATAGATATACAATTCTAGGTGATC
TGGAAATTACAGAATCTAGTGCAGAGAAGTTGCTGAAAAAGGCTGAAGTT
ATTTAG
</t>
  </si>
  <si>
    <t>2.3.1.1</t>
  </si>
  <si>
    <t>2.7.2.8</t>
  </si>
  <si>
    <t>acetylglutamate kinase</t>
  </si>
  <si>
    <t>cren1_8best_scaffolds_00010550</t>
  </si>
  <si>
    <t>MNINFKMEDLILLKLGGEVIRKNLENVLNQIGFIAEKIILIHGGREIVNE
YSLKVGIEPKFVTSPEGIKSRYTSLDELEIYVMTMNLINKKITSILNSKG
VPSIGISGVDGNLILAKKKDKIVILNEKGRKQIIDGGYTGKITKINVDLM
NKLLNCYRCIVVSPIALDLEKGCMLNVDSDQVAAEIAKAMKISKIIFLTD
VNGLKINENYIRTVKLSEIPALLSKTGFGMNRKLMMIYEAMKNGVNEVII
ANGLSTDFLKEIENGNATKFLS</t>
  </si>
  <si>
    <t xml:space="preserve">ATGAATATTAATTTCAAAATGGAAGATTTAATATTGTTAAAATTAGGCGG
TGAAGTTATTAGAAAAAATCTTGAAAACGTTTTAAATCAAATTGGATTCA
TAGCTGAAAAAATAATATTAATCCATGGAGGAAGGGAAATTGTAAACGAA
TATAGCTTAAAGGTAGGAATTGAACCAAAATTTGTAACTTCTCCAGAGGG
AATAAAAAGTAGGTATACTTCATTGGATGAATTAGAAATCTATGTTATGA
CTATGAACCTAATAAACAAGAAGATAACTTCCATTTTAAACTCTAAAGGA
GTTCCTTCAATAGGAATCAGCGGTGTTGATGGTAATTTAATTCTGGCAAA
AAAGAAAGACAAGATAGTAATATTAAATGAGAAGGGAAGAAAACAGATAA
TCGATGGTGGATATACAGGAAAAATAACAAAAATTAACGTAGATTTAATG
AATAAGCTCTTAAACTGCTACAGATGCATTGTTGTTTCTCCAATTGCTTT
AGATTTGGAAAAAGGTTGTATGCTAAACGTAGACAGCGACCAAGTAGCAG
CAGAAATAGCTAAAGCAATGAAAATTAGCAAAATTATTTTCCTTACAGAT
GTAAACGGTTTAAAGATTAATGAAAATTACATAAGAACAGTTAAACTTAG
CGAAATACCAGCTTTACTAAGTAAAACAGGATTTGGAATGAATAGAAAAT
TAATGATGATTTACGAAGCTATGAAAAATGGAGTTAACGAAGTAATAATA
GCCAATGGTTTATCAACCGATTTCTTAAAAGAAATCGAAAATGGTAATGC
AACTAAATTCCTTTCATAA
</t>
  </si>
  <si>
    <t>1.2.1.38</t>
  </si>
  <si>
    <t>N-acetyl-gamma-glutamyl-phosphate reductase, common form</t>
  </si>
  <si>
    <t>cren1_8best_scaffolds_00010520</t>
  </si>
  <si>
    <t>MKVSIVGGSGYTGGELLRILSIHPRVEIQHVFSRSNAGKYIHDVHPFLKG
IIKMKFTSLDNLNLIKNSDVVFSCLPHGVSKEMIPKIIDYNVKIIDLSGD
FRLKEASLYKRWYHFEHKNPEILAKFVYGIPEIFKEEISKAKYVSVPGCI
AIASILALYPFAKRGLIKNTVYIDAKVGSSGSGKNLKISSIFSERFNSIK
AYKPAMHRHSPEIETYLQLISNKKFNVLLAAHTVNIVRGILATIYLDHYE
ELPQIWKYYREDFGNEKFIRIIRNPRGYYKYPDPKFLLGSNFVDIGFEID
EINRKIVLMVALDNLVKGASGNAIQCMNIMFGLNEDEGLNIPPIYPI</t>
  </si>
  <si>
    <t xml:space="preserve">ATGAAAGTAAGCATTGTAGGCGGTTCAGGATATACAGGCGGTGAACTTTT
AAGAATACTATCAATTCATCCAAGAGTAGAGATACAGCATGTCTTTTCTA
GAAGTAATGCTGGAAAATATATACATGACGTTCATCCTTTTCTTAAAGGA
ATAATAAAAATGAAATTCACCTCGCTCGATAATTTAAATTTAATTAAAAA
TTCAGATGTTGTGTTTTCTTGTCTCCCCCATGGTGTCTCTAAGGAAATGA
TTCCAAAGATAATTGATTACAATGTAAAGATAATTGATTTAAGTGGAGAT
TTTAGATTGAAAGAAGCTAGTCTGTATAAAAGATGGTATCATTTTGAGCA
CAAGAATCCAGAAATCCTCGCAAAATTCGTTTATGGCATTCCTGAAATCT
TTAAAGAGGAGATAAGTAAAGCAAAATATGTTTCAGTTCCTGGCTGTATA
GCTATAGCTTCAATATTAGCTTTGTATCCCTTTGCGAAAAGAGGGTTAAT
TAAAAATACAGTTTATATAGACGCAAAGGTAGGTTCATCAGGTTCTGGTA
AAAATTTAAAGATTTCAAGTATTTTCTCTGAAAGATTTAATTCTATAAAG
GCTTACAAACCTGCAATGCATAGACATTCTCCCGAAATAGAAACATATCT
TCAATTGATTTCAAACAAAAAATTCAATGTTTTGCTAGCTGCTCATACTG
TAAATATCGTAAGGGGGATTTTGGCTACAATTTATTTGGATCATTACGAG
GAATTGCCTCAAATTTGGAAATATTATAGAGAGGACTTTGGAAATGAAAA
GTTTATAAGAATAATTAGGAATCCTAGAGGATACTATAAATATCCGGATC
CTAAATTTTTGCTAGGATCAAATTTTGTAGATATCGGATTTGAAATTGAT
GAAATAAACAGGAAAATTGTATTAATGGTGGCACTGGATAATTTGGTGAA
AGGAGCATCTGGCAACGCTATTCAATGTATGAATATAATGTTTGGTTTAA
ATGAAGATGAAGGACTGAATATTCCTCCTATCTATCCTATTTAG
</t>
  </si>
  <si>
    <t>2.6.1.11</t>
  </si>
  <si>
    <t>Ornithine/acetylornithine aminotransferase</t>
  </si>
  <si>
    <t>cren1_8best_scaffolds_00010560</t>
  </si>
  <si>
    <t>MVMQLNSFHKLKFKSFFGSRGIKIVRGKDQYVWDEKGNKYIDMHAGNGAA
FLGHGNEYVIKEIENQLNQIYSLSTSFDSDIKYRMLDSLEKVKPKETEYV
SLLNSGSEAVDFALKVARKITGRKKFIAFKNSFHGRTFGALSVTWNAKYR
FPFMPLLEPVEFLEFNNIEQIKKIDKETAAVIIEPVQGEGGVYEAKEDFL
NVIYEECIKNDVLLIFDEIQCGFGRTGYTWSHERSKAIGDIVIAGKGIGG
GFPLSVVFYKKEIAEKITEGDHGSTYGGNPLAMASIVGAIEAFNKDNVLE
KVNKSAYIFKETLKELYEYRIIKETRIFGLMVAIEFNIIVNEIIRGLQNN
FILALKSGLNILRLLPSYKINEKDINEFKEKIKSIIEKN</t>
  </si>
  <si>
    <t>ATGGTAATGCAACTAAATTCCTTTCATAAATTGAAATTTAAAAGCTTCTT
TGGATCTAGAGGAATTAAAATAGTAAGAGGAAAAGATCAGTATGTTTGGG
ATGAAAAAGGCAATAAATACATTGATATGCATGCTGGAAATGGGGCGGCC
TTTCTTGGACATGGAAATGAATACGTTATAAAAGAAATCGAAAATCAGCT
GAACCAAATTTATTCACTAAGCACATCTTTCGATTCTGACATAAAATATA
GAATGCTTGATAGCTTAGAAAAAGTAAAACCTAAAGAAACAGAATATGTT
TCTTTACTTAACAGTGGAAGCGAAGCTGTAGATTTTGCTTTAAAAGTAGC
AAGGAAAATAACGGGAAGGAAAAAGTTCATTGCGTTCAAAAATTCATTTC
ATGGAAGAACATTTGGAGCACTTTCCGTAACCTGGAATGCAAAATATAGA
TTCCCTTTCATGCCTTTATTGGAACCTGTGGAATTCTTGGAATTTAACAA
TATAGAACAAATAAAAAAGATAGATAAAGAAACAGCAGCAGTAATAATAG
AGCCTGTTCAGGGCGAAGGAGGTGTTTACGAAGCTAAAGAAGATTTTTTA
AACGTTATTTATGAAGAGTGTATAAAAAACGACGTATTACTTATATTTGA
TGAAATACAGTGCGGATTTGGAAGAACAGGATATACGTGGTCGCATGAAA
GAAGCAAAGCAATAGGCGACATCGTTATCGCAGGTAAAGGTATAGGTGGA
GGATTTCCTTTAAGCGTTGTGTTCTACAAAAAAGAGATTGCAGAAAAGAT
AACAGAAGGAGATCATGGAAGTACCTATGGTGGAAATCCTTTAGCCATGG
CCTCAATAGTAGGGGCAATAGAGGCTTTTAATAAAGATAACGTTTTAGAA
AAAGTTAATAAAAGTGCATATATCTTTAAAGAGACCTTAAAAGAACTATA
CGAGTACAGAATCATTAAAGAGACAAGGATCTTTGGATTAATGGTTGCAA
TCGAATTTAACATTATAGTAAATGAAATAATCCGAGGATTACAAAATAAT
TTTATATTAGCACTAAAGTCAGGACTAAATATTTTACGATTGCTACCAAG
TTATAAAATAAATGAAAAAGATATAAATGAATTCAAAGAAAAAATTAAGA
GTATAATAGAAAAAAATTAA</t>
  </si>
  <si>
    <t>3.5.1.14</t>
  </si>
  <si>
    <t>N-Acetylornithine + H2O = Acetate + Ornithine</t>
  </si>
  <si>
    <t>aspartate carbamoyltransferase, regulatory subunit</t>
  </si>
  <si>
    <t>cren1_8best_scaffolds_00002440</t>
  </si>
  <si>
    <t xml:space="preserve">MEEYEMKVTKIRNGTVIDHIPAGKALAVLNLLELTGKEGYTIALVMNVKS
KKLGVKDVVKVENLEINPNLLNRLALIAPEATINIIRDYKVHEKRKITLE
EIVEDILRCSNPTCISRQTNEPIVSSFKVISKKPLKLKCNYCMRYLSENE
VIEQIVERSKFR
</t>
  </si>
  <si>
    <t>ATGGAAGAATACGAAATGAAGGTTACTAAGATAAGAAATGGCACAGTTAT
CGATCATATACCAGCAGGTAAGGCGCTTGCTGTTCTAAACCTGCTTGAAC
TAACAGGAAAAGAAGGATACACTATTGCACTGGTTATGAACGTTAAGAGC
AAGAAATTAGGAGTTAAAGATGTAGTTAAGGTAGAAAATCTCGAAATAAA
TCCAAATCTTTTGAATAGGCTGGCTTTGATAGCTCCTGAAGCAACGATCA
ATATAATAAGAGATTACAAAGTTCATGAGAAAAGGAAAATAACCTTAGAA
GAAATAGTGGAGGACATCCTCAGATGCTCAAATCCTACATGTATTAGCAG
GCAAACCAATGAACCTATTGTTTCAAGTTTTAAAGTTATATCTAAGAAAC
CATTAAAATTGAAATGCAATTATTGTATGAGATATTTGAGCGAAAACGAG
GTTATAGAGCAAATTGTCGAAAGAAGCAAATTTAGATGA</t>
  </si>
  <si>
    <t>aspartate carbamoyltransferase</t>
  </si>
  <si>
    <t>cren1_8best_scaffolds_00002450</t>
  </si>
  <si>
    <t xml:space="preserve">MSWLNRDIINVNDFSKEELEYLFNVADRFIDLKYKEILKGKIIANLFLEP
STRTRISFEVAAKRLGAEVINVTGEYSSIKKGESLYDTLKMLDTYCDMIV
IRSPIEGSAQFAADVCENPVINAGDGTLNHPTQAMIDLYTIRNVFSRLDN
LNIGVYGDLKYGRAVISFLMAITKYDNKIYAISPPQLTLREEVKDELISK
GAKIEEITNLDQVISELDVLYVTRIQKERFVDLAEYEKVKGSYKVDLKSL
EKSKPNLIVMHPLPRVEELTYELDKTSKQAYFRQAKYGIPLRMALLSLIL
GAEV
</t>
  </si>
  <si>
    <t xml:space="preserve">ATGAGTTGGCTTAATAGAGATATTATAAATGTTAACGATTTCTCAAAAGA
AGAGCTTGAATATCTTTTCAACGTCGCTGATAGATTCATTGATTTAAAAT
ACAAGGAAATTCTTAAAGGAAAAATTATAGCAAACCTTTTTTTAGAACCA
AGCACAAGGACAAGAATAAGTTTTGAGGTTGCAGCAAAGAGATTGGGAGC
AGAGGTAATAAACGTTACAGGCGAATACTCTTCGATTAAGAAAGGAGAAA
GTCTTTATGATACACTTAAAATGCTTGACACGTACTGCGATATGATTGTA
ATAAGAAGTCCAATTGAAGGTTCAGCACAGTTCGCTGCAGATGTATGCGA
AAATCCAGTAATAAATGCAGGCGATGGAACTTTAAATCATCCGACTCAGG
CAATGATCGATCTTTATACTATCAGAAATGTTTTTTCGAGGCTTGATAAC
CTAAATATTGGTGTTTATGGAGACTTAAAGTATGGTAGGGCTGTAATATC
TTTCTTAATGGCGATAACTAAATACGATAACAAGATTTACGCTATTTCTC
CTCCGCAATTAACGCTAAGGGAAGAGGTTAAAGATGAACTTATCAGTAAA
GGGGCTAAAATAGAAGAAATTACAAATTTAGATCAAGTAATTTCAGAATT
GGATGTTCTTTACGTTACAAGGATACAAAAGGAAAGATTCGTTGACCTTG
CGGAATATGAAAAAGTTAAGGGTTCTTATAAAGTAGACTTAAAAAGTTTA
GAGAAGTCAAAACCTAATTTAATCGTTATGCATCCTTTACCAAGGGTTGA
GGAGCTAACCTATGAATTGGATAAAACTTCTAAGCAGGCCTATTTTAGAC
AAGCTAAATATGGAATACCTTTAAGAATGGCCCTTTTATCTTTAATTCTA
GGAGCCGAGGTGTGA
</t>
  </si>
  <si>
    <t>Dihydroorotase and related cyclic amidohydrolases</t>
  </si>
  <si>
    <t>cren1_8best_scaffolds_00002430</t>
  </si>
  <si>
    <t>LSKEANLDEYCIEGKAYIEGNFVDCFILIKGEKIAKISKNSVQGLKTIKL
KNEEALFPAATDLHVHFRDWDESYKETIRSGSKAALAGGVTTVLDMPNTK
PPVNNLERLEKRYLDFKEKSMVDFGLHVRPSKELNKIINHRECFAVKFYE
EDLPSILDYSDTISSKRVVFHAQYGNDEVIAVEDILAKSEKLSNIRFAHV
SKAKSLRLIEEFRSNNPNKKVYIEVTPHHTFLSEKDFENKHKGYSSVRPP
LSSKEDNSEIINWINNGKIDFIASDHAPHSREEKLSENPPPGYPSIEIMY
TLFLNSWLKGILNLDRIIKCLCIAPAEYLGIKKGKIIEGYYADLAIINLK
EEKIIDSSKFVSMSKFSPFDGMKIKSIVKTTIMRGKIVYDEGYFMYENIQ
AKSINELVN</t>
  </si>
  <si>
    <t>TTGTCGAAAGAAGCAAATTTAGATGAATACTGCATAGAAGGTAAAGCATA
CATAGAAGGTAATTTTGTCGATTGCTTTATATTAATCAAGGGAGAAAAAA
TAGCTAAAATATCAAAAAATTCCGTTCAAGGATTAAAAACCATAAAATTA
AAAAATGAAGAAGCATTATTTCCAGCAGCTACAGATCTTCATGTTCATTT
TAGGGATTGGGATGAAAGTTATAAAGAAACTATAAGAAGTGGCTCGAAAG
CTGCTTTGGCAGGAGGTGTAACAACAGTACTGGATATGCCCAATACAAAA
CCTCCCGTAAATAATCTTGAAAGATTGGAAAAGAGATACCTAGATTTTAA
GGAAAAATCCATGGTTGATTTTGGTTTGCATGTTAGACCTAGTAAAGAAC
TTAATAAAATCATAAATCATAGGGAATGTTTCGCAGTTAAGTTTTATGAA
GAAGATCTTCCTAGCATTTTAGATTATAGTGATACAATAAGTTCAAAAAG
GGTGGTATTTCACGCGCAGTATGGAAACGATGAAGTAATAGCTGTAGAAG
ATATCCTTGCGAAATCAGAAAAACTTAGCAACATAAGATTCGCCCATGTA
TCAAAAGCAAAATCTTTAAGATTAATAGAGGAATTTCGTTCTAATAATCC
AAATAAAAAAGTTTACATTGAAGTTACTCCACATCATACATTTTTATCGG
AAAAAGACTTTGAAAACAAACATAAAGGTTACTCAAGTGTAAGACCTCCC
TTATCTTCAAAGGAAGATAATTCGGAAATAATAAATTGGATAAACAATGG
AAAAATAGACTTTATTGCAAGCGATCATGCTCCCCATAGCCGAGAGGAGA
AATTATCTGAGAATCCACCTCCAGGTTATCCTTCCATCGAAATTATGTAT
ACGTTGTTTTTGAATTCCTGGTTAAAGGGCATTCTTAATTTGGATAGGAT
AATAAAATGTCTCTGCATTGCACCAGCTGAGTACCTAGGAATAAAAAAAG
GGAAAATAATTGAGGGTTATTACGCAGATCTCGCCATTATTAACTTAAAA
GAGGAAAAAATTATAGACTCTTCAAAATTTGTTTCTATGTCAAAGTTTTC
TCCTTTTGACGGTATGAAAATAAAAAGTATTGTTAAAACTACAATCATGA
GGGGAAAAATAGTTTATGATGAAGGATATTTCATGTATGAAAATATTCAG
GCAAAATCAATCAACGAGTTAGTAAATTAG</t>
  </si>
  <si>
    <t>cren1_8best_scaffolds_00019220</t>
  </si>
  <si>
    <t>MDFDLCIADGYIVLDIGIIKANLYIKNNIIAKISQFEYKSKSIINAKNKY
VIPGLIDGHVHFMDPSEIDREDFITGSSAAAAGGVTTVIEHTHSSPIRNL
KEFKSKLSYVSQKSVVDFGLTAHIWGDNIEDLEELWKNGITMFKLFTTTT
HGVPGMNNFQIKEFFKKINSFNGLVLCHCEDDSIVNGELEKLRRSEIKGN
EILYLWRNKEAEIIAVNTVGLLAKLTGVKAIIAHASHPDVIEIANEWKNK
GANLWIESCPQYFYLFENEVIEKGGFRKFTPPTRITSQYEKSMMWKLLNE
NKITHISSDHAPSTKLHKSKTIMEAPFGLPGVETTLRLMLHAVNEGWISI
KKLVEVTSTTPAKIYGLYPKKGAIKEGADADVVVVDLQAEEVIEGDKLYT
KAKWSPYEGIKLKGKPLYVISRGEIIYEEGKVLGKPGRGKFLPGPGFANQ</t>
  </si>
  <si>
    <t>ATGGATTTTGATTTATGCATTGCTGATGGATATATTGTATTAGATATTGG
TATAATAAAAGCAAATTTATACATAAAAAATAATATAATAGCAAAAATAT
CTCAATTTGAATATAAAAGCAAGTCTATAATAAATGCAAAAAATAAGTAC
GTAATACCTGGATTAATTGATGGGCATGTACATTTTATGGATCCTTCTGA
GATAGATAGAGAAGATTTTATAACAGGCTCATCTGCAGCTGCTGCTGGCG
GGGTTACCACAGTTATAGAACATACTCATTCAAGTCCTATAAGAAATTTG
AAAGAGTTTAAATCCAAGCTAAGTTATGTATCACAAAAATCAGTTGTTGA
TTTTGGACTTACTGCACATATTTGGGGAGACAATATTGAAGATCTTGAAG
AATTGTGGAAAAACGGAATAACTATGTTTAAATTATTTACCACAACAACT
CACGGTGTCCCAGGTATGAATAATTTTCAAATAAAAGAGTTTTTTAAAAA
GATAAATTCCTTCAATGGACTTGTTCTATGTCATTGTGAAGATGACTCGA
TAGTTAATGGTGAGTTAGAGAAACTAAGAAGAAGCGAAATAAAGGGAAAT
GAGATTCTCTATTTATGGAGAAATAAAGAAGCTGAGATTATAGCTGTGAA
TACTGTAGGACTTTTAGCAAAATTAACAGGAGTTAAAGCAATAATAGCTC
ATGCCAGTCATCCAGATGTAATTGAAATAGCTAATGAATGGAAAAATAAA
GGAGCGAATCTTTGGATAGAATCTTGCCCTCAATATTTTTACCTTTTCGA
AAACGAAGTTATCGAAAAAGGGGGTTTTAGAAAATTTACTCCACCTACAA
GAATTACTTCGCAATATGAAAAAAGTATGATGTGGAAATTGTTAAATGAG
AATAAAATTACGCATATATCATCTGACCATGCACCTTCCACAAAATTGCA
TAAAAGCAAAACTATAATGGAGGCTCCTTTCGGCTTACCAGGGGTCGAAA
CAACATTAAGATTGATGCTACACGCTGTTAATGAAGGCTGGATTAGCATA
AAGAAATTAGTGGAGGTTACTTCTACGACACCTGCTAAAATTTATGGATT
GTATCCTAAAAAAGGCGCAATAAAAGAAGGAGCTGATGCGGATGTGGTCG
TTGTGGATCTACAAGCTGAAGAAGTTATAGAAGGAGATAAGCTCTATACC
AAAGCAAAATGGTCTCCTTATGAAGGAATTAAGCTAAAAGGGAAACCACT
ATATGTTATCTCTAGAGGTGAAATTATTTACGAAGAAGGAAAAGTATTAG
GTAAACCTGGAAGAGGAAAATTTCTTCCTGGACCGGGATTTGCAAATCAA
TAA</t>
  </si>
  <si>
    <t>Dihydroorotate dehydrogenase</t>
  </si>
  <si>
    <t>cren1_8best_scaffolds_00010830</t>
  </si>
  <si>
    <t>MIDPERGHDLIKKFAKFPIPNICTENEELRLNLKGVKLRNPIGLAAGFDK
NAEMISFLSGLGFGYLVIGSVLLNENKGNPKPRIVRYEKYLSMVNSMGLP
SVGLRKFLRSLTKNKARIPLFVSIAGNSVKEFIEIYNFLKKFVNVIEVNL
SCPNTENGRLFLEANNFQILARELEKVKSGLVFVKVSPIINKNDRDNLQE
IIEISLKHKIDGITAVNALPVEEKAISVGFGGLSGKLLFKYMLDTVSFIQ
ENAQNKLIINACGGIFNEKDAIKAFLLGASTVQLYTSLIYEGPYVVCKIK
KGIYEFIKKNNFKNIEELIGYFTKIEAIN</t>
  </si>
  <si>
    <t>ATGATTGACCCAGAAAGAGGACACGATCTCATCAAAAAGTTTGCAAAATT
TCCCATTCCGAACATATGCACAGAAAATGAAGAGCTAAGATTAAATCTTA
AGGGGGTTAAGCTTAGGAACCCTATTGGATTGGCTGCAGGATTTGATAAG
AATGCAGAAATGATAAGCTTTCTTTCAGGGTTAGGTTTCGGCTACCTTGT
AATAGGATCAGTTTTACTGAATGAAAACAAAGGTAATCCTAAACCAAGGA
TTGTAAGATATGAAAAATATTTATCGATGGTAAATTCCATGGGACTTCCT
TCTGTAGGGCTGAGAAAATTTTTAAGGAGTCTTACAAAGAATAAAGCTAG
AATCCCGTTATTCGTTAGCATTGCAGGAAATTCTGTTAAAGAATTTATTG
AGATATATAATTTTTTAAAAAAGTTTGTAAACGTCATAGAAGTAAATTTA
AGCTGTCCAAATACTGAAAATGGAAGGTTATTCCTAGAAGCAAACAATTT
TCAAATCTTAGCAAGAGAGTTAGAGAAAGTTAAGTCTGGTTTAGTCTTCG
TTAAGGTCTCGCCAATAATAAATAAAAATGATAGAGATAATTTACAGGAA
ATAATCGAGATAAGTTTAAAACATAAAATCGATGGAATTACGGCTGTCAA
TGCATTGCCAGTTGAAGAAAAAGCAATATCTGTTGGCTTTGGAGGCCTTT
CTGGAAAGCTTTTGTTCAAATATATGTTAGATACGGTAAGCTTCATTCAA
GAAAACGCACAAAATAAGCTAATAATAAACGCATGTGGAGGAATATTTAA
CGAAAAAGATGCAATCAAAGCCTTTTTACTAGGTGCATCTACAGTGCAGT
TATATACATCTTTAATTTATGAAGGACCATATGTGGTATGCAAAATAAAG
AAAGGAATTTATGAGTTCATAAAGAAAAACAATTTCAAAAACATAGAAGA
ACTTATTGGCTACTTCACTAAAATCGAAGCAATAAATTAG</t>
  </si>
  <si>
    <t>2.1.3.2</t>
  </si>
  <si>
    <t>3.5.2.3</t>
  </si>
  <si>
    <t>1.3.98.1</t>
  </si>
  <si>
    <t>orotate phosphoribosyltransferase</t>
  </si>
  <si>
    <t>cren1_8best_scaffolds_00002460</t>
  </si>
  <si>
    <t>MKDIVKRLIQIGAIKKGKFILSSGKESNIYIDLRLVLSYPDLYEKIVEEC
AQILKNIGFDAIAGIPTGGLAWASFLAYRLRKPLIYVRKESKGHGAQKLI
EGQLKENSSVIIVDDVATTGGNIFDAYEKLQSQNYFAKYAFVIVDREEGA
REKLSEKGIELLSLLKMINITSLLNS</t>
  </si>
  <si>
    <t>ATGAAGGACATAGTTAAAAGATTAATACAAATAGGGGCAATAAAAAAGGG
AAAATTTATTCTTTCTTCAGGTAAGGAATCAAACATATACATAGACTTGA
GATTAGTTCTTTCCTATCCTGATTTATATGAGAAAATTGTGGAAGAATGT
GCTCAGATTCTTAAAAATATAGGCTTTGATGCTATTGCAGGAATTCCTAC
AGGAGGACTGGCATGGGCTTCTTTTCTAGCTTACAGGCTAAGAAAACCGC
TGATATATGTAAGGAAAGAAAGTAAAGGTCATGGAGCACAAAAGCTTATA
GAAGGACAGCTTAAAGAAAATTCATCCGTAATCATAGTTGATGACGTAGC
AACGACTGGAGGTAATATATTCGACGCATATGAAAAGTTGCAATCACAAA
ATTATTTTGCCAAATATGCCTTCGTTATTGTAGATAGGGAAGAGGGAGCA
CGGGAGAAATTAAGTGAGAAAGGAATTGAATTGCTTTCCCTTTTAAAAAT
GATAAATATAACAAGTTTGTTAAATTCATAA</t>
  </si>
  <si>
    <t>2.4.2.10</t>
  </si>
  <si>
    <t>Orotidine-5'-phosphate decarboxylase</t>
  </si>
  <si>
    <t>cren1_8best_scaffolds_00002470</t>
  </si>
  <si>
    <t xml:space="preserve">VSLEKLGNLTEVKKSKLILAIDDAQFYDKEFLYKLSPYVVGIKIGLTCLI
DSFNKSAKINREVNNDFFIIADLKVADVPHICEKLANLAKNLHFDAIIAH
SFIGETSLRAIKNIIPTLAVVTMSVHDSYKYDENVDYFVEISNKLNLSGI
IAPATKPEILKKVRKITKLKIFSPGIGAQGMDYGYAIKNGADYEIVGRSI
LYANNPVLEAKKAIAAYEGHS
</t>
  </si>
  <si>
    <t>GTGAGTTTAGAAAAACTCGGAAATTTAACTGAAGTTAAGAAAAGCAAGCT
GATTTTAGCAATTGATGATGCTCAATTCTATGATAAAGAATTCCTTTATA
AACTTAGTCCCTATGTGGTAGGAATCAAAATAGGGCTTACTTGCTTGATA
GATTCTTTCAATAAATCCGCTAAGATAAACAGGGAAGTGAATAATGATTT
CTTTATAATAGCAGATTTGAAAGTTGCAGATGTTCCTCATATATGTGAAA
AGCTGGCCAATTTAGCTAAAAATTTACATTTTGATGCAATAATTGCCCAT
TCATTCATAGGTGAAACCTCTCTCAGAGCTATTAAGAACATTATTCCAAC
ATTGGCTGTTGTAACAATGAGCGTTCACGATTCCTATAAATACGATGAAA
ACGTAGACTATTTCGTAGAGATTTCCAATAAATTAAACTTAAGTGGTATA
ATTGCGCCTGCAACTAAGCCTGAAATACTTAAAAAGGTAAGGAAAATAAC
AAAACTTAAAATATTTTCACCAGGTATAGGAGCACAAGGTATGGATTACG
GCTATGCGATAAAAAACGGTGCAGATTATGAAATCGTTGGCAGATCTATT
CTCTATGCAAATAATCCTGTTCTTGAAGCAAAAAAGGCTATAGCTGCATA
TGAAGGACATAGTTAA</t>
  </si>
  <si>
    <t>4.1.1.23</t>
  </si>
  <si>
    <t>uridylate kinase, putative</t>
  </si>
  <si>
    <t>cren1_8best_scaffolds_00007950</t>
  </si>
  <si>
    <t>MQWVLKIGGHLITESEETFISYARILDKLSSKYKNFHIVIGGGKWARSYI
NIGRSLSLPESYLDFIGIHISQINAQIIHESLSNKSDFSFVKTFDELVEK
INEGKRIICGGLFPSISTTTVACLVSELSRASLLYATNVEGVYDKDPNLY
KDAVFIKKLSIDELAKILEKSISISAGEYKLFDPQSLHIIRRSKIVVRVF
NGKKEENIKRALENDDIGTIITP</t>
  </si>
  <si>
    <t xml:space="preserve">ATGCAGTGGGTTTTAAAAATAGGCGGCCATCTGATAACAGAAAGTGAAGA
AACTTTTATAAGCTACGCAAGAATTCTTGACAAACTTTCTTCAAAATACA
AGAATTTTCATATCGTAATAGGAGGAGGCAAATGGGCTAGAAGCTATATA
AATATCGGAAGATCTTTAAGTTTACCCGAATCGTATTTAGATTTTATTGG
TATACATATAAGTCAAATTAACGCGCAGATAATCCATGAAAGTTTAAGCA
ATAAATCAGATTTCTCTTTCGTAAAAACTTTTGATGAATTGGTCGAAAAA
ATAAACGAGGGGAAAAGGATAATATGCGGCGGTTTATTTCCTTCAATATC
GACAACTACTGTAGCATGTTTAGTTTCTGAATTAAGTAGGGCATCTTTGT
TATATGCAACTAATGTCGAGGGTGTTTATGATAAGGATCCTAATTTATAC
AAAGATGCTGTTTTTATCAAAAAATTAAGTATTGATGAATTAGCAAAAAT
TCTAGAGAAATCCATATCCATTTCTGCAGGAGAATACAAGCTTTTTGATC
CACAATCTTTACATATAATTAGGAGGTCAAAAATAGTTGTAAGAGTATTT
AACGGAAAAAAAGAGGAAAATATAAAAAGAGCTTTAGAAAATGATGATAT
TGGAACAATAATTACACCCTAA
</t>
  </si>
  <si>
    <t>2.7.4.22</t>
  </si>
  <si>
    <t>Nucleoside diphosphate kinase</t>
  </si>
  <si>
    <t>cren1_8best_scaffolds_00001460</t>
  </si>
  <si>
    <t xml:space="preserve">MERTFVLLKPDAVQRGLIGEIISRFERTGLKIVALKMIRPTKEQAMNFYP
SDEEWLTSVANKSLTVYKQLGIDPKKDFGTTDPIEIGKIIKEWLAEFIAS
GPCVAMVIEGNRAIEVVRKIVGATRPYEAQPGTIRGDYSTDSPELANILK
RPLRNLVHASDSKEVAEKEIKFWFKDDEIIKYKRADENIIYGL
</t>
  </si>
  <si>
    <t>ATGGAAAGGACCTTTGTACTTTTAAAGCCAGATGCCGTACAAAGGGGACT
TATTGGAGAGATAATATCAAGATTTGAAAGAACAGGATTAAAAATAGTTG
CATTGAAAATGATAAGACCAACAAAGGAACAGGCAATGAATTTTTATCCT
TCAGACGAGGAATGGCTAACATCGGTAGCAAATAAATCTTTAACAGTTTA
TAAGCAACTAGGTATTGATCCAAAGAAAGATTTTGGAACAACAGATCCTA
TTGAAATAGGAAAAATAATTAAAGAATGGCTCGCAGAATTCATCGCTTCC
GGCCCTTGCGTTGCTATGGTAATCGAAGGAAACAGAGCCATTGAAGTTGT
TAGAAAAATTGTCGGAGCAACAAGACCATATGAAGCTCAACCGGGCACTA
TAAGAGGTGATTACTCTACTGACAGTCCTGAATTGGCTAATATATTGAAA
AGGCCTCTTAGAAATCTAGTCCATGCATCTGACAGCAAGGAGGTTGCAGA
AAAAGAAATAAAATTCTGGTTTAAAGATGATGAAATAATAAAATACAAAA
GAGCAGATGAAAACATAATATACGGACTATAA</t>
  </si>
  <si>
    <t>2.7.4.6</t>
  </si>
  <si>
    <t>CTP synthase</t>
  </si>
  <si>
    <t>cren1_8best_scaffolds_00009250</t>
  </si>
  <si>
    <t>MSKYVFITGGVLSSVGKGVIASSIGKILQVRGYKVTAIKIDPYLNFDSGT
MNPYMHGEVFVTEDGAETDMDLGHYERFLGINLNREHNITTGQIYETVIT
KERRGDYLGQCVQIIPHVTDEIKSRIRNVVLKYGADIAIVEVGGTVGDIE
SLPFLEALRQMKLEEDPSNIVFVHVALVPTISVTGEQKTKPLQHSVNELR
RIGIQPDIIIARSVKPISYEARQKIALFGNVKPQYVLNSFDVDNIYRIPL
ILEEQGLAELLINLLSLENVQPNWNEWLKVCENTYEHEVKIALVGKYSKL
VDSYVSISEALNHVGLNLKVKIKKLWIDSELVEKDDKDTIKEILSSDGII
ILPGFGARGAEGKIKAINLARVNKIPLLGICYGFQLAIVEFARNVCGLKD
ANTTEVDPNTSNPVIDLLPEQRNLTLKGGTMRLGSYPIKLVKDTLAYRTY
GSEIVYERHRHRYEVNPKYFDILQKNGLIFSGFSLEGNRVEFAELKNGFY
LLTQAHPEFKSRPTKPSPPYYALVKYILDKRLNRIVEEEHA</t>
  </si>
  <si>
    <t>ATGAGTAAGTATGTCTTCATAACGGGAGGAGTTTTATCTTCTGTAGGTAA
GGGAGTCATAGCTTCTTCAATCGGGAAAATTCTTCAAGTTAGAGGATACA
AAGTTACAGCAATTAAAATAGACCCTTATCTTAACTTTGATAGCGGAACA
ATGAATCCCTATATGCACGGGGAAGTATTTGTAACAGAAGATGGAGCTGA
AACTGATATGGATCTTGGTCATTATGAAAGATTCCTTGGTATTAACCTTA
ATAGAGAACACAACATAACTACAGGACAAATATACGAAACAGTTATAACA
AAGGAAAGAAGAGGTGATTATTTAGGACAGTGCGTTCAAATAATTCCGCA
TGTTACTGATGAGATAAAGTCTAGAATAAGGAATGTTGTTTTAAAATATG
GAGCAGATATCGCCATAGTAGAAGTTGGTGGCACTGTAGGTGATATTGAA
AGCTTACCTTTCCTTGAAGCCTTAAGGCAAATGAAACTTGAGGAGGATCC
CTCAAATATCGTATTTGTTCACGTTGCTCTCGTTCCAACGATATCTGTAA
CAGGAGAACAAAAAACAAAACCTTTGCAACATAGCGTAAACGAATTAAGA
AGAATAGGAATCCAGCCTGATATAATAATAGCTAGAAGCGTTAAACCTAT
TTCATATGAAGCAAGACAGAAAATAGCCCTATTTGGAAACGTTAAACCTC
AGTATGTCTTAAATTCTTTTGACGTTGACAACATATATAGAATACCTTTG
ATTCTTGAAGAACAGGGATTGGCCGAGCTTCTAATAAATCTTCTATCTTT
AGAGAATGTTCAGCCTAATTGGAATGAGTGGCTTAAAGTTTGTGAAAACA
CATATGAGCATGAAGTAAAAATAGCACTTGTTGGAAAGTATTCAAAGCTA
GTTGATTCATATGTTAGTATAAGCGAAGCTCTAAATCATGTAGGATTGAA
TCTTAAGGTTAAAATAAAGAAGCTATGGATAGATTCTGAGCTGGTTGAGA
AAGATGATAAAGATACTATAAAAGAGATATTATCTTCAGACGGTATAATA
ATACTACCTGGATTTGGTGCAAGAGGTGCTGAAGGAAAAATAAAAGCCAT
TAATCTGGCTAGAGTAAACAAAATACCTTTATTGGGTATATGCTATGGAT
TCCAGTTAGCAATAGTTGAATTTGCTCGAAATGTTTGCGGACTTAAAGAT
GCGAACACTACTGAAGTAGATCCTAATACAAGCAATCCTGTTATCGATCT
TTTGCCTGAACAAAGAAACCTGACTTTAAAAGGAGGGACAATGAGATTGG
GCTCATATCCTATAAAGTTAGTAAAGGATACATTGGCTTATAGGACATAC
GGGAGTGAAATAGTGTATGAAAGACATAGACATAGATATGAAGTCAATCC
CAAGTATTTTGACATTCTACAAAAAAACGGGTTAATTTTCTCTGGTTTTT
CATTGGAGGGGAACAGGGTAGAATTCGCAGAACTTAAGAATGGATTCTAT
TTGCTTACACAAGCACATCCTGAATTTAAATCAAGACCAACAAAGCCCTC
TCCGCCTTATTACGCTTTAGTAAAATACATATTAGATAAAAGGCTAAATA
GAATAGTTGAAGAAGAGCATGCTTGA</t>
  </si>
  <si>
    <t>6.3.4.2</t>
  </si>
  <si>
    <t>1.17.4.2</t>
  </si>
  <si>
    <t>3.5.4.13</t>
  </si>
  <si>
    <t>3.6.1.19</t>
  </si>
  <si>
    <t>non-canonical purine NTP pyrophosphatase, rdgB/HAM1 family</t>
  </si>
  <si>
    <t>cren1_8best_scaffolds_00005050</t>
  </si>
  <si>
    <t xml:space="preserve">MKYSLTLITGNENKFREIKNFLSNYNIELEKIDLDINEIQSENLEEIILD
FIQKAYKMLKKPVIAEDSGLFIRSLKGFPGPYSSYVYKTLGNEGILKLME
GIDDRYAEFKCALAYKDEENEKVFLGISAGYISEKIRGKGWGFDPIFIPK
GSNITFGEMNIEEKNKYSHRGKSLSLFVNWFSENYLKKSS
</t>
  </si>
  <si>
    <t>ATGAAGTATAGCTTAACGCTAATTACAGGAAACGAAAACAAGTTTAGAGA
AATAAAGAATTTTCTCTCAAATTACAACATTGAATTAGAAAAGATAGATT
TGGATATAAATGAAATTCAGTCAGAAAATTTGGAGGAGATAATTTTGGAT
TTTATTCAAAAAGCCTATAAAATGTTAAAAAAGCCTGTAATTGCTGAGGA
TTCAGGCTTATTTATTAGAAGCTTAAAGGGATTTCCAGGACCTTATTCTT
CTTATGTTTACAAAACTTTGGGAAATGAAGGAATATTGAAATTGATGGAA
GGTATTGATGATAGATATGCTGAATTTAAATGTGCTCTTGCTTATAAAGA
TGAAGAAAATGAAAAAGTTTTCCTTGGAATATCAGCAGGATATATTTCTG
AAAAGATTAGAGGAAAAGGATGGGGATTTGATCCGATATTCATTCCGAAG
GGATCTAATATTACATTTGGCGAAATGAACATAGAAGAAAAAAACAAGTA
TTCACATAGAGGAAAATCATTAAGTTTATTCGTTAATTGGTTTTCTGAAA
ATTATTTGAAGAAATCTTCGTAA</t>
  </si>
  <si>
    <t>2.1.1.45</t>
  </si>
  <si>
    <t>2.7.4.9</t>
  </si>
  <si>
    <t>thymidylate kinase</t>
  </si>
  <si>
    <t>cren1_8best_scaffolds_00008120</t>
  </si>
  <si>
    <t xml:space="preserve">MKNGDLKKGIFIVIEGIDGAGITTNSRLLVDWLNENQFNALYTKEPTDSP
IGKLIRGYLKSSSDLDPYLMALLFTADRSLHVKNFIIPNLELGKIIVCDR
YFYSTLAYQSVHGVDFNLIYKMNKNFPQPNLVLLLDVKPETAIKRKHGDK
EFYENLDFLNDIRKKFLEMASDFNFVVISSNENLETVQNKIRKVTNYLID
EILERK
</t>
  </si>
  <si>
    <t>ATGAAAAATGGGGATTTAAAGAAAGGAATTTTCATTGTTATTGAGGGAAT
AGATGGAGCTGGAATAACTACAAACAGCAGATTGTTGGTTGATTGGTTAA
ATGAAAATCAATTTAATGCTTTGTATACTAAAGAGCCTACCGACAGCCCA
ATAGGTAAGTTGATAAGGGGGTATTTGAAATCAAGTTCGGATCTGGATCC
ATACTTAATGGCTTTACTTTTCACTGCAGACAGATCGCTACATGTTAAAA
ACTTTATAATTCCTAATTTAGAATTAGGAAAGATAATAGTATGTGATAGA
TATTTCTACTCTACCTTAGCGTATCAATCAGTTCATGGTGTTGACTTTAA
TTTAATTTATAAGATGAATAAGAATTTTCCTCAACCCAACTTGGTACTAT
TATTAGATGTAAAACCAGAAACAGCTATAAAAAGGAAGCACGGTGATAAG
GAATTTTATGAAAATTTAGATTTTTTAAATGATATAAGAAAAAAATTTTT
AGAAATGGCCTCAGATTTCAATTTTGTTGTTATATCTTCAAACGAAAATT
TAGAAACTGTTCAAAATAAGATAAGAAAAGTCACAAACTATTTAATCGAT
GAAATTTTGGAAAGAAAATGA</t>
  </si>
  <si>
    <t>MERTFVLLKPDAVQRGLIGEIISRFERTGLKIVALKMIRPTKEQAMNFYP
SDEEWLTSVANKSLTVYKQLGIDPKKDFGTTDPIEIGKIIKEWLAEFIAS
GPCVAMVIEGNRAIEVVRKIVGATRPYEAQPGTIRGDYSTDSPELANILK
RPLRNLVHASDSKEVAEKEIKFWFKDDEIIKYKRADENIIYGL</t>
  </si>
  <si>
    <t>2.4.2.14</t>
  </si>
  <si>
    <t>amidophosphoribosyltransferase</t>
  </si>
  <si>
    <t>cren1_8best_scaffolds_00008740</t>
  </si>
  <si>
    <t>MLGENCGVTGAYTIDDIAPYLIYNSLVALQHRGQEACGIAVLKEREIIVE
KSLGLVTNSFNAEKLDKIKSNLGIGHVRYSTTGTSSIDEAHPILVKNSDF
EIALAFNGNIVNFLQIRKELKEFGYEFLTKSDGEVLAKLFFEEYKSKKDV
EKAVNSVFDKLDGAYSVVAITSNKELIAFRDEHGFRPLNYGKDTAGNLLI
ASETVAFDINEISKFERIQPGELLIMNEGILEKIKIRDPKPSFCMFEYVY
FSRPDSVFEDKVVYEVRYNLGKELANTYKTEADIIVPVPDTSRPAAEAIS
HVTGLPVVEGLIKNRYIGRTFIMPTQKERDSNIKAKLNAVKSLIRGKKVL
LVDDSIVRGTTMKRIVELIRKAGAKSVEVWITCPPIISPCFYGIDIAIHG
ELIALNKSIEEIAKEIGADKLCYQTMEGLIRAIGHENKLCLGCLTGKYPT
KLAQSLSDEMKSKVMMERNRYWEIEAR</t>
  </si>
  <si>
    <t xml:space="preserve">ATGCTAGGAGAAAATTGTGGAGTAACTGGAGCTTATACAATTGATGATAT
AGCTCCTTATTTGATTTATAATTCCTTAGTTGCTTTGCAACATAGAGGAC
AGGAAGCATGTGGAATTGCGGTTTTAAAAGAAAGAGAGATAATAGTTGAG
AAAAGTTTAGGACTGGTTACAAACAGCTTTAATGCTGAGAAGCTTGATAA
AATTAAAAGCAATTTGGGAATAGGACATGTTAGATATTCAACAACTGGAA
CTTCTAGCATAGATGAAGCACATCCTATTCTTGTAAAGAATTCTGATTTT
GAAATAGCTCTTGCTTTCAATGGAAATATAGTTAACTTCCTTCAAATAAG
GAAAGAACTTAAAGAATTTGGTTATGAGTTTTTAACTAAAAGTGATGGAG
AAGTATTGGCAAAGTTATTTTTCGAAGAATATAAAAGTAAAAAAGATGTT
GAAAAAGCAGTAAATTCTGTTTTTGATAAACTGGATGGAGCTTATTCTGT
TGTAGCAATTACTAGCAATAAAGAGTTGATTGCCTTTAGGGATGAGCATG
GATTTAGACCTTTAAACTACGGAAAAGATACAGCTGGAAACTTGCTAATT
GCTTCAGAAACTGTGGCATTTGATATCAATGAAATATCGAAATTTGAAAG
AATTCAGCCTGGAGAGCTTTTAATTATGAATGAAGGAATATTGGAAAAGA
TTAAAATAAGGGATCCTAAGCCTTCTTTCTGCATGTTTGAGTATGTTTAC
TTCAGTAGACCAGATAGCGTTTTTGAAGATAAAGTTGTATATGAAGTGAG
ATATAATCTTGGAAAGGAACTTGCTAATACATATAAAACAGAAGCTGACA
TAATAGTGCCAGTTCCAGATACATCAAGACCTGCTGCAGAAGCTATTTCA
CATGTAACAGGCTTACCTGTAGTTGAAGGGTTGATAAAGAATAGATACAT
TGGAAGAACTTTCATAATGCCTACGCAGAAAGAAAGGGATAGCAATATTA
AAGCAAAGCTAAATGCGGTAAAGTCATTGATAAGAGGAAAGAAGGTGCTT
CTAGTAGATGATAGTATTGTAAGAGGAACTACGATGAAAAGAATTGTTGA
ATTGATTAGAAAAGCTGGAGCAAAGAGCGTAGAAGTATGGATCACATGTC
CTCCAATAATCTCTCCATGTTTTTACGGAATCGATATAGCAATACATGGA
GAACTTATAGCTTTAAATAAAAGTATAGAAGAAATAGCGAAGGAAATAGG
AGCTGATAAGCTTTGTTACCAAACAATGGAAGGATTGATAAGAGCTATAG
GGCATGAAAATAAACTTTGCTTAGGTTGCTTAACTGGAAAGTATCCTACA
AAACTTGCACAATCATTGTCTGATGAAATGAAATCGAAAGTTATGATGGA
AAGAAATAGATATTGGGAAATAGAAGCAAGATAA
</t>
  </si>
  <si>
    <t>6.3.4.13</t>
  </si>
  <si>
    <t>phosphoribosylamine--glycine ligase</t>
  </si>
  <si>
    <t>cren1_8best_scaffolds_00008730</t>
  </si>
  <si>
    <t>LGNRSKIMYKACVIGEGGREHAIARKLFEDGANIYAYMAFKNPGISRIAT
KIEIGKLTDFENIKNFALSNDVDFIIPGPELPIVEGIADFLDKHQIPCVC
PFKKVARIEGSKSFARNLMRKHRINAFPSFKIVENLDEFKEAVKEINDYV
IKPDGLTGGKGVRVLGEHFFNLEEALDYADKVLKVHGRLLVEEKMKGEEF
VLQCFTDGIRCSPMPLVHDHKRAYDDDKGPNTGGMGSISYYNHLLPFVPS
NYYEEALRIMNETILALRKETGISYKGILYGQFMLTKEGSKIVEYNVRFG
DPEAMNVLSLMNSNFIDIIYSIIEENLKAASFERLSTVCVYLAPRGYPDN
PAKDSKIEVNEEKINNENRRLYYASIREENGELFTTGSRSLAILAKEKDI
YEAHKSCYDAIKYIKGELFYRKDIGSEYLIRKRIENLRKIGIKLNGYSI</t>
  </si>
  <si>
    <t xml:space="preserve">TTGGGAAATAGAAGCAAGATAATGTATAAGGCTTGTGTAATAGGCGAAGG
AGGAAGAGAGCATGCCATTGCAAGGAAGCTATTTGAAGATGGAGCAAATA
TCTATGCTTACATGGCTTTTAAGAATCCAGGAATTTCAAGAATTGCTACA
AAGATTGAAATAGGAAAGCTTACAGATTTTGAGAACATAAAGAATTTTGC
TTTGAGCAACGATGTCGATTTTATCATTCCAGGTCCTGAACTTCCTATTG
TTGAAGGAATAGCTGATTTTTTAGACAAGCATCAAATTCCTTGTGTTTGC
CCTTTTAAGAAAGTTGCTAGGATTGAGGGAAGCAAATCCTTTGCAAGAAA
TTTGATGAGAAAACATAGAATAAACGCCTTTCCAAGCTTTAAAATTGTTG
AAAATTTGGATGAATTCAAAGAAGCTGTAAAAGAAATAAATGATTACGTT
ATAAAGCCTGATGGATTAACAGGAGGTAAAGGAGTTAGAGTTTTAGGTGA
GCATTTTTTCAATTTAGAAGAAGCCTTGGATTACGCTGATAAGGTTCTAA
AGGTTCATGGAAGACTCTTGGTTGAAGAGAAGATGAAGGGAGAAGAATTT
GTTTTACAGTGCTTTACAGATGGAATAAGATGCTCTCCTATGCCTTTAGT
CCATGATCATAAAAGAGCTTATGATGATGATAAAGGCCCAAATACAGGAG
GAATGGGTTCGATTAGCTATTATAACCATTTGCTTCCCTTTGTTCCTTCG
AATTATTATGAAGAAGCTTTAAGGATAATGAATGAAACAATTTTAGCTTT
AAGAAAAGAAACTGGAATTTCATACAAAGGAATACTTTATGGTCAGTTTA
TGCTAACAAAGGAAGGATCAAAGATAGTTGAATACAATGTTAGATTTGGG
GATCCTGAGGCAATGAATGTTTTGAGTTTAATGAATAGCAACTTCATAGA
TATTATTTACAGCATAATTGAAGAGAATTTAAAGGCTGCTTCATTTGAAA
GGCTTTCGACGGTTTGTGTTTACTTAGCACCAAGGGGATATCCAGATAAT
CCTGCAAAGGATTCAAAGATAGAGGTTAATGAAGAAAAGATAAATAATGA
AAATAGAAGGCTTTACTATGCATCTATAAGAGAGGAAAATGGAGAATTAT
TTACAACAGGATCAAGATCCTTAGCTATATTAGCAAAGGAAAAAGATATT
TATGAAGCACATAAAAGCTGCTATGATGCTATTAAATACATTAAAGGAGA
GCTGTTCTATAGGAAAGACATTGGAAGTGAGTATTTGATAAGAAAAAGAA
TTGAAAATCTTAGAAAGATTGGAATAAAATTAAATGGTTATAGTATTTGA
</t>
  </si>
  <si>
    <t>2.1.2.2</t>
  </si>
  <si>
    <t>phosphoribosylglycinamide formyltransferase, formyltetrahydrofolate-dependent</t>
  </si>
  <si>
    <t>cren1_8best_scaffolds_00008680</t>
  </si>
  <si>
    <t xml:space="preserve">MNKKLRIAVLASTRATDMQAIIDEINAGKLNAEIVCVISNKKEAYALERA
RKYNIPAIFIDTKGKSPEQYDEELLAKLEEYKPDLILLIGYNRYLTKKVI
EKYRYKIMNIHPSLLPAFPGWDKEVHKAVLDYGCKVTGCTLHFVDERIDA
GPIILQKCVPVYDDDTVETLKERVQKAEQEIILEGIRLFMENKLQVVNNR
VKKI
</t>
  </si>
  <si>
    <t xml:space="preserve">ATGAACAAAAAGTTAAGAATAGCTGTTTTGGCCTCAACAAGGGCAACTGA
TATGCAGGCAATAATCGATGAGATAAACGCAGGAAAGCTTAATGCTGAAA
TTGTTTGTGTAATAAGCAATAAAAAGGAAGCATATGCTTTAGAAAGAGCA
AGGAAATACAATATACCTGCAATTTTCATAGATACTAAGGGGAAAAGTCC
TGAGCAGTATGATGAAGAGCTTTTAGCTAAACTAGAAGAATACAAGCCAG
ATTTAATTCTTCTTATTGGATACAATAGATATCTTACTAAGAAAGTAATT
GAAAAATACAGATACAAAATAATGAACATACATCCTTCTTTACTGCCAGC
TTTTCCAGGTTGGGATAAAGAGGTTCATAAAGCTGTTTTGGATTATGGAT
GCAAAGTTACAGGATGCACGCTTCATTTTGTTGATGAAAGAATTGATGCA
GGACCTATTATATTGCAAAAATGCGTTCCTGTTTACGATGATGATACGGT
TGAAACTTTGAAGGAAAGAGTCCAAAAGGCTGAGCAGGAAATAATCCTCG
AGGGAATAAGATTGTTTATGGAAAATAAGCTGCAAGTTGTAAATAATAGG
GTAAAAAAAATTTAA
</t>
  </si>
  <si>
    <t>cren1_8best_scaffolds_00008710</t>
  </si>
  <si>
    <t xml:space="preserve">MNKKLRIAVLASTRATDMQAIIDEINAGKLNAEIVCVISNKKDAYALERA
RKYNIPAIFIDTKGKSPEQYDEELLAKLEEYKPDLIILIGYNRYLTNKVI
EKYRYKIMNIHPSLLPAFPGWDKEVHKAVLDYGCKVTGCTLHFVDERIDA
GPIILQKCVPVYDDDTVDTLKERVQKAEQEIILEGIRLFMSNELEIIKNK
VRIKKDFML
</t>
  </si>
  <si>
    <t>ATGAACAAAAAGTTAAGAATAGCTGTTTTGGCCTCAACAAGGGCAACTGA
TATGCAGGCAATAATCGATGAGATAAACGCAGGAAAGCTTAATGCTGAAA
TTGTTTGTGTAATAAGCAATAAAAAAGATGCATATGCTTTAGAGAGAGCA
AGGAAATACAATATTCCTGCAATTTTCATAGATACTAAGGGAAAAAGTCC
TGAGCAGTATGATGAAGAGCTTTTGGCTAAACTAGAAGAATACAAGCCAG
ATTTAATTATTCTTATTGGATACAATAGATATCTTACTAATAAAGTAATT
GAAAAATACAGATACAAAATAATGAACATACATCCTTCTTTACTGCCAGC
TTTTCCAGGTTGGGATAAAGAGGTTCATAAAGCTGTTTTGGATTATGGAT
GCAAAGTTACAGGATGCACACTGCATTTTGTTGATGAAAGAATTGATGCA
GGACCTATTATATTGCAAAAATGCGTTCCTGTTTACGATGATGATACCGT
TGATACTTTGAAGGAAAGAGTTCAAAAGGCTGAGCAGGAAATAATCCTCG
AGGGAATAAGATTGTTTATGAGCAACGAATTGGAAATTATTAAAAATAAA
GTTAGAATAAAAAAAGATTTTATGCTTTAA</t>
  </si>
  <si>
    <t>6.3.5.3</t>
  </si>
  <si>
    <t>phosphoribosylformylglycinamidine synthase II</t>
  </si>
  <si>
    <t>cren1_8best_scaffolds_00008880</t>
  </si>
  <si>
    <t>MRIKSYPIHKFTNKDLIKLNEELSLALSLEELLAIRSYYQKEGRSATDVE
LYTFSQVWSEHCFHKTFKAKIKFGDEEIEGLFKTFIERATRELNKDWCLR
VFEDNAGIIEFDDEFAIAVKVETHNHPTALDPFSGAHTGVGGVYRDIIGV
GARPIATMDYLFFAYPNLSYNDLPYDAYHPKVMLKKVVAGIADYGNKVGV
PTVNGCIQFNNAYLRNPLVFAGSVGLLPKKKYIRNPKPGHNIILLGGKTG
RDGIKGASFASLSLTKAAESKFYAAVQIGNPIEEKKIIEAIIKARDHEKG
PLYSLVTDLGGGGLAVAVCESFKDLGADIFLEKISLKHLDMDPWEIWISE
SQERMLLCVPEENLEEIFEIFEEEGCEASIIGEVNSSKKVSIKYKGEYAG
EISLDFLFKEYPRLTLKASSRIFKRPEPPNDSIIANMNNYNDVLLNLLSD
PNVSSKEWVIRQYDHEVGARTIIKPLQGVNLDAPGDAAVIKPLYNSWKGI
VISNGGNPNYSIDPYRMALSAIDEAIRNNVACGGRRIALLDNFCWGNPMI
EEELGKLVLACKACYEGAKSFDTPYISGKDSLYNEFFDGKVRHEIPPTLM
ITAVGVIPDVRKSVTMDFKRSGNYVYIIGFTSDELGGSLLYKKYNIEGGE
VPNVNPERAKTIYEKITRAIDRGLIRSCHDCSDGGLAVAIAEMCIGGNCG
VEINLDKVPTHLNKPYKILFSESNSRFIVEVAQGYEKEFEFSIRGIPFEK
IGYVTSDKTLIFKSGNNEVINLDLDEVIRAFKTSLI</t>
  </si>
  <si>
    <t>ATGCGAATAAAAAGCTATCCGATTCATAAATTTACAAATAAAGATCTTAT
AAAGCTAAATGAAGAACTTTCCTTAGCTTTAAGTCTTGAAGAACTTTTAG
CAATAAGAAGCTATTATCAAAAAGAAGGTAGAAGCGCTACTGACGTTGAG
CTTTACACCTTTTCCCAAGTATGGTCAGAGCATTGTTTCCATAAAACTTT
CAAAGCTAAGATAAAATTTGGAGATGAAGAAATTGAAGGTCTTTTCAAGA
CTTTCATTGAGAGAGCTACAAGAGAATTGAACAAAGATTGGTGCTTAAGG
GTTTTCGAAGATAATGCAGGAATAATAGAATTCGATGATGAATTTGCAAT
AGCTGTTAAAGTTGAAACTCACAATCATCCAACTGCATTGGATCCTTTCA
GCGGTGCACATACAGGTGTTGGTGGTGTATATAGAGACATAATTGGAGTA
GGTGCAAGACCGATAGCAACGATGGATTATTTATTTTTTGCCTATCCAAA
CCTGAGTTACAACGATTTGCCATATGATGCATATCATCCAAAAGTAATGC
TAAAGAAAGTTGTTGCAGGAATAGCAGATTACGGTAATAAAGTAGGAGTT
CCTACTGTAAATGGCTGCATTCAATTTAACAATGCATATCTAAGGAATCC
CCTTGTTTTTGCAGGAAGTGTTGGATTGCTTCCTAAGAAGAAATATATAA
GAAATCCAAAGCCAGGTCATAATATTATTCTTTTAGGAGGTAAAACAGGA
AGGGATGGAATTAAAGGAGCTTCGTTCGCTTCATTATCTTTGACTAAAGC
TGCAGAGAGTAAATTCTATGCTGCTGTTCAAATAGGAAATCCGATTGAGG
AAAAGAAGATAATAGAAGCTATAATTAAAGCAAGAGATCATGAAAAAGGC
CCTCTTTATTCATTGGTTACAGATCTTGGTGGAGGAGGACTTGCTGTTGC
TGTATGTGAATCCTTCAAAGATCTTGGAGCAGATATATTCTTAGAAAAGA
TAAGTCTAAAGCACCTTGACATGGATCCTTGGGAAATATGGATCTCTGAA
TCACAAGAAAGGATGCTTTTGTGTGTCCCTGAAGAAAACTTAGAGGAAAT
CTTTGAAATATTTGAGGAAGAAGGATGCGAAGCTTCAATTATAGGTGAAG
TAAATTCAAGTAAAAAAGTTTCAATAAAATACAAAGGAGAATATGCAGGA
GAAATCTCTTTAGATTTCTTATTTAAAGAATATCCAAGGTTAACGCTCAA
AGCCTCTTCTAGAATCTTTAAGCGTCCTGAGCCTCCAAATGATTCAATCA
TTGCAAACATGAACAATTACAATGATGTTTTGTTAAACCTTTTATCTGAT
CCAAATGTTTCCAGTAAGGAGTGGGTAATAAGACAGTATGATCATGAAGT
AGGTGCAAGGACGATTATAAAGCCTTTACAAGGAGTAAATTTAGATGCAC
CTGGCGATGCTGCAGTAATAAAACCTTTGTATAATTCATGGAAAGGTATT
GTTATTTCAAACGGTGGAAATCCAAATTATTCTATTGATCCATACAGAAT
GGCTTTATCAGCTATAGATGAAGCTATAAGGAATAATGTAGCATGCGGAG
GAAGAAGAATAGCACTGCTTGATAACTTTTGCTGGGGGAATCCTATGATT
GAAGAAGAACTTGGAAAACTTGTATTGGCTTGCAAAGCATGTTATGAAGG
TGCCAAAAGCTTTGATACTCCTTACATTTCAGGAAAGGATAGCCTATACA
ATGAATTTTTTGATGGAAAGGTTAGACATGAAATACCTCCAACTTTAATG
ATCACCGCAGTAGGAGTAATACCTGATGTAAGAAAATCTGTAACGATGGA
CTTTAAAAGAAGTGGTAACTATGTTTACATTATAGGATTTACTTCTGATG
AGCTTGGAGGCTCTTTGTTGTACAAGAAGTATAACATTGAAGGGGGTGAG
GTTCCGAATGTTAATCCTGAAAGGGCAAAAACAATATATGAAAAAATTAC
CCGTGCAATAGATAGAGGTCTTATAAGATCTTGTCATGATTGTTCAGATG
GAGGATTAGCTGTAGCAATTGCAGAAATGTGCATAGGTGGAAACTGCGGA
GTTGAAATAAATTTGGATAAAGTCCCTACACACCTTAATAAGCCTTATAA
GATCTTATTTTCCGAATCAAACTCAAGGTTTATAGTTGAAGTAGCTCAAG
GTTATGAAAAAGAATTTGAATTTTCAATTAGAGGGATTCCATTTGAAAAG
ATAGGCTATGTTACAAGCGATAAAACGCTTATATTCAAATCAGGAAATAA
TGAAGTAATAAATCTAGATCTGGATGAAGTAATCAGGGCCTTTAAAACAA
GCTTGATATAA</t>
  </si>
  <si>
    <t>phosphoribosylformylglycinamidine synthase I</t>
  </si>
  <si>
    <t>cren1_8best_scaffolds_00008890</t>
  </si>
  <si>
    <t>MRPRCLILRAEGTNCDLETAEAVRIAGGDPSIIHINLLIKGKVNLEDYQM
LVLPGGFSYADSISAGKILGNIIKTILRPQFKKFIEEGKPVLGICNGFQA
LLKSGFLPFSNENSQHATLSINESGLFIDKWVYLKYNSNTKCLLTKNSQN
VIYLPINHGEGRFVCSNSCLDRLISNNQIVYQYSSIDGIVSNEFNPNGSL
MNIAAITNEYGNVLGIMPHPEKYVNKYLHPAWTRFQNLKEEGDGLFIYLN
AVKLAKKFF</t>
  </si>
  <si>
    <t xml:space="preserve">ATGAGACCCAGGTGCTTAATTTTAAGAGCTGAAGGAACAAATTGCGATCT
TGAAACAGCTGAAGCTGTAAGGATTGCAGGAGGAGATCCATCAATTATTC
ATATAAACTTGCTCATAAAAGGCAAGGTTAACTTAGAAGATTATCAAATG
CTAGTTCTACCAGGAGGTTTTTCTTACGCCGATTCAATTAGCGCTGGTAA
AATACTAGGAAACATTATCAAAACCATTCTAAGACCTCAGTTTAAGAAGT
TTATAGAAGAAGGAAAACCTGTGCTTGGAATATGCAATGGTTTCCAAGCA
CTTTTAAAATCAGGTTTCCTTCCTTTTTCTAATGAAAATTCACAGCATGC
AACTTTATCTATAAATGAAAGCGGCCTTTTCATAGACAAATGGGTATATT
TAAAATACAATTCTAATACGAAATGTTTATTAACTAAAAATTCTCAAAAT
GTGATCTACTTGCCAATAAACCATGGAGAAGGAAGATTCGTTTGCAGTAA
TTCATGTCTTGACAGGCTTATTTCAAACAATCAGATAGTTTATCAGTATT
CATCTATAGACGGAATAGTTTCGAACGAGTTTAATCCAAATGGTTCTTTA
ATGAACATTGCAGCTATAACCAACGAATATGGCAACGTGCTTGGCATAAT
GCCACATCCTGAAAAATATGTAAACAAATACTTGCATCCTGCTTGGACAC
GTTTCCAAAACTTGAAAGAGGAAGGTGATGGTCTCTTTATTTATCTGAAT
GCGGTAAAGCTTGCAAAAAAATTCTTTTAA
</t>
  </si>
  <si>
    <t>6.3.4.18</t>
  </si>
  <si>
    <t>phosphoribosylaminoimidazole carboxylase, PurK protein</t>
  </si>
  <si>
    <t>cren1_8best_scaffolds_00008650</t>
  </si>
  <si>
    <t xml:space="preserve">LKLKVGILGAGQLGWMMILEGRKYPFNYFVLGNKDDPARKVADRFFTNEE
YKKMIDESDVVTFEFEHVLNEALLYAEEKGKLLPRYNSVELKIERHKEKE
FYKMKNFPTPRFFVANDGKEALEILRKEFNNYGVIKRSIGGYDGKGQYFI
KNDVERFNSIKEMKEKFVVEEFVEFDYEASIIATSNGKEVKCFDPTYNYN
EKGILVYNYGPLENKIVSEKMKEIAKKLAKELNYIGTFAIEFFVKGNEVL
INEFAPRVHNTGHFTLDAAYVSQFEQHIRAITNLELAEAKILKPSGMVNI
LGINKIPEEVLKYGKMYWYGKEEVRKRRKMGHLNVVGDSIDEVKMKIEKI
MKIIYKDELYELL
</t>
  </si>
  <si>
    <t xml:space="preserve">TTGAAGCTTAAAGTAGGAATTCTAGGTGCTGGACAACTTGGCTGGATGAT
GATTTTGGAAGGAAGGAAGTATCCTTTCAATTACTTTGTATTAGGAAATA
AAGATGATCCTGCAAGAAAAGTAGCAGATAGATTCTTTACAAATGAAGAA
TACAAAAAAATGATAGATGAAAGCGATGTTGTTACCTTTGAATTTGAACA
TGTTCTGAATGAAGCTTTATTGTATGCTGAAGAAAAGGGAAAACTGTTGC
CAAGATACAATTCAGTTGAATTGAAAATTGAAAGACATAAAGAAAAAGAA
TTCTATAAAATGAAGAACTTTCCTACACCAAGATTTTTTGTTGCAAACGA
TGGAAAAGAAGCTTTGGAAATATTAAGAAAAGAATTCAATAACTATGGAG
TAATCAAAAGATCAATAGGCGGATATGATGGAAAAGGGCAGTATTTTATA
AAGAATGATGTTGAAAGATTTAATTCCATAAAGGAAATGAAAGAGAAATT
CGTAGTTGAAGAGTTCGTTGAATTTGATTATGAAGCTTCGATTATAGCAA
CAAGCAACGGTAAGGAAGTAAAGTGCTTTGATCCAACTTATAACTATAAT
GAAAAAGGAATACTGGTTTACAATTATGGACCCCTTGAGAATAAAATTGT
TTCTGAAAAAATGAAAGAAATTGCAAAAAAATTGGCAAAGGAGTTGAACT
ACATTGGAACTTTTGCAATTGAGTTTTTTGTTAAAGGTAATGAAGTATTG
ATAAATGAATTCGCTCCAAGAGTACATAATACAGGTCATTTTACCCTTGA
TGCAGCATATGTTTCACAATTTGAACAACATATAAGGGCAATAACGAATC
TCGAGCTCGCCGAAGCAAAGATTTTAAAGCCTTCAGGAATGGTTAATATA
CTTGGAATAAACAAAATTCCTGAAGAAGTTCTTAAATATGGAAAAATGTA
TTGGTACGGGAAAGAAGAAGTTAGAAAAAGAAGAAAGATGGGGCATTTAA
ATGTTGTAGGAGATTCGATCGATGAAGTTAAGATGAAAATAGAAAAAATT
ATGAAAATAATATACAAAGATGAATTATATGAACTGTTGTAA
</t>
  </si>
  <si>
    <t>5.499.18</t>
  </si>
  <si>
    <t>phosphoribosylaminoimidazole carboxylase, PurE protein</t>
  </si>
  <si>
    <t>cren1_8best_scaffolds_00008660</t>
  </si>
  <si>
    <t>MPKVAVIMGSKNDWEYMKEACEVLKSFNIDFEAKVVSAHRTPEFMFDFAK
KAKEKGFEVIIAGAGGAAHLPGMVASLTTLPVIGVPIPSKNLNGIDSLLS
IVQMPYGTPVATVAIGNARNAALLAIRILSIKYTELTDKLEKFIEDMKNE
VLSTRLEA</t>
  </si>
  <si>
    <t>ATGCCAAAAGTTGCTGTTATTATGGGAAGCAAGAACGACTGGGAATACAT
GAAGGAAGCTTGTGAAGTTTTAAAATCATTCAACATAGATTTTGAAGCAA
AGGTAGTTTCAGCTCATAGAACTCCTGAATTCATGTTTGATTTCGCCAAA
AAAGCAAAGGAGAAAGGATTTGAAGTAATAATTGCTGGTGCAGGAGGTGC
TGCACACTTGCCTGGAATGGTTGCTTCATTGACCACTTTGCCTGTAATAG
GTGTTCCTATTCCTTCAAAAAATTTAAACGGCATTGATTCATTGCTTTCA
ATAGTTCAAATGCCCTATGGAACACCTGTTGCAACTGTAGCTATAGGAAA
TGCAAGGAATGCAGCTTTACTTGCAATTAGAATATTATCTATAAAATATA
CTGAGTTAACTGATAAATTGGAAAAGTTCATTGAAGATATGAAAAATGAG
GTACTTTCCACAAGACTTGAAGCTTAA</t>
  </si>
  <si>
    <t>cren1_8best_scaffolds_00008690</t>
  </si>
  <si>
    <t xml:space="preserve">MPKVAVIMGSKNDWEYMKEACEVLKSFNIDFEAKVVSAHRTPEFMFDFAK
KAKEKGFEVIIAGAGGAAHLPGMVASLTTLPVIGVPIPSKNLKGIDSLLS
IAQMPYGTPVATVAIGNARNAALLAIRILSIKYTELTDKLEKFIEDMKNE
VLSTRLEA
</t>
  </si>
  <si>
    <t>ATGCCAAAAGTTGCTGTTATTATGGGAAGCAAGAACGACTGGGAATACAT
GAAGGAAGCTTGTGAAGTTTTAAAATCATTCAACATAGATTTCGAAGCAA
AGGTAGTTTCAGCTCATAGAACTCCTGAATTCATGTTTGATTTCGCCAAA
AAAGCAAAGGAGAAAGGATTTGAAGTAATAATAGCTGGTGCAGGAGGTGC
TGCACATCTGCCTGGAATGGTTGCTTCATTGACCACTTTGCCTGTAATAG
GTGTTCCTATTCCTTCAAAAAATTTAAAAGGTATTGATTCATTGCTTTCA
ATAGCTCAAATGCCCTATGGAACACCTGTTGCAACTGTAGCTATAGGAAA
TGCAAGGAATGCAGCTTTACTTGCAATTAGAATATTATCTATAAAATATA
CTGAGTTAACTGATAAATTGGAAAAGTTCATTGAAGATATGAAAAATGAG
GTACTTTCCACAAGACTTGAAGCTTAA</t>
  </si>
  <si>
    <t>6.3.2.6</t>
  </si>
  <si>
    <t>phosphoribosylaminoimidazole-succinocarboxamide synthase</t>
  </si>
  <si>
    <t>cren1_8best_scaffolds_00008760</t>
  </si>
  <si>
    <t>VESYQLIKRGKVKDIYRVSSEKLAFVFTDRISAFDVVLPSYVPMKGRILF
KFAKFWFEYLKFPNHMVEAIEPNILIVKELKMIPLEFIVRGYIYGSLYER
MIKGLIDINEEPILARKLKEPFFETTTKYEEKDRPIGKSEIIEKNWLNEE
EYEYLKNVCIELYLEMSKKAYEGNFILADVKFEFGKDRDGKIVLADSLGP
DEFRLWPKEKYEEGKVQESFDKQPVRDWLVKIGYKEKLEEARIRGLPIPS
PPELPSWLIEEVKRRYIEAYERITNEKIT</t>
  </si>
  <si>
    <t>GTGGAGAGTTATCAATTGATAAAAAGGGGTAAAGTAAAGGATATTTATAG
AGTTTCTTCTGAAAAGTTAGCTTTTGTTTTTACTGATAGAATTTCTGCCT
TTGATGTTGTTCTTCCTTCATATGTTCCAATGAAAGGAAGAATTTTATTC
AAGTTTGCTAAATTTTGGTTCGAATACTTAAAATTTCCAAATCATATGGT
TGAAGCAATCGAGCCTAATATATTGATCGTAAAAGAGTTAAAAATGATAC
CGCTTGAATTCATAGTTAGAGGATACATTTACGGTTCATTGTACGAAAGA
ATGATAAAAGGACTGATCGATATAAATGAAGAACCGATACTTGCAAGGAA
GCTTAAAGAGCCTTTCTTTGAAACTACTACAAAGTATGAAGAGAAGGATA
GACCTATAGGTAAGAGTGAAATAATTGAAAAGAATTGGCTTAATGAAGAA
GAGTATGAATACCTTAAGAATGTATGCATTGAACTTTATTTGGAGATGAG
TAAAAAAGCCTATGAAGGAAACTTTATTCTAGCTGATGTTAAATTTGAGT
TTGGAAAGGATAGAGATGGAAAAATTGTTTTAGCAGATTCCTTAGGTCCT
GATGAATTTAGGCTTTGGCCGAAGGAGAAATATGAAGAAGGTAAAGTTCA
GGAAAGCTTCGATAAGCAACCTGTTAGAGATTGGCTTGTAAAAATTGGCT
ATAAAGAAAAATTGGAAGAAGCGAGAATTAGAGGTTTGCCAATTCCTTCT
CCGCCTGAGCTTCCTAGTTGGCTAATCGAAGAAGTAAAGAGAAGATATAT
AGAGGCTTATGAGAGGATAACGAATGAGAAAATTACCTAA</t>
  </si>
  <si>
    <t xml:space="preserve">MSCPVYSRYSTEEMSRIFSEEAKIERWLKVEAVLAQSQAELNLIPKEASE
EISKKANLTYVSIKRIKEIEKEIDHDLLAVVKALSEVCEKNYGRFVHKGA
TSYDIEDTAWAIAFKEALGVLKGRIKELIKILLEKAERYKDLACIGRTHG
QHALPTTYGMKFAIWAYDMFRCIERIDFLEKNDLIGKMSGAVGTMAGFGK
KGIELQEIVMKKLGIKPALISNQVVQRDVFSDFIYLNALIAANLEKIAKE
IRNLQRTEIGEMLEPFKEKQAGSSTMPHKRNPHRSERICSLARYLRSLVT
VSLENIALEHERDLTNSANERIIISHSFILVDYILNEAIDILKNLVINEK
NVERNLNLLRGINLSENVMLKLVDKGMSREEAYEIIRNTAIKSYEEEKDF
IQELLKNEKVSSFIKESELKELLNPKNYLGLAEKIVERSIHEIKSQLNL
</t>
  </si>
  <si>
    <t xml:space="preserve">ATGTCATGCCCAGTTTATTCAAGATATTCAACTGAAGAAATGAGCAGAAT
ATTTAGTGAGGAAGCTAAAATTGAAAGATGGTTAAAAGTTGAAGCAGTGT
TAGCTCAATCACAGGCTGAACTTAACTTAATTCCTAAGGAGGCTTCTGAG
GAAATATCAAAAAAAGCAAATTTAACGTATGTTTCAATAAAAAGAATAAA
GGAAATAGAAAAAGAAATAGATCATGATCTTCTTGCAGTAGTAAAAGCTC
TTTCTGAAGTTTGTGAAAAAAATTATGGAAGATTTGTTCATAAAGGCGCA
ACCAGCTATGATATCGAAGATACTGCATGGGCAATTGCATTTAAAGAAGC
TCTTGGAGTTCTGAAAGGAAGAATAAAGGAATTGATAAAGATACTTTTAG
AAAAAGCTGAAAGATACAAAGACTTAGCATGCATAGGAAGAACACACGGC
CAGCATGCTTTGCCTACAACATACGGAATGAAGTTTGCAATTTGGGCTTA
TGATATGTTTAGGTGCATAGAAAGGATAGATTTTCTAGAGAAAAACGATC
TGATCGGAAAAATGAGCGGTGCAGTTGGAACAATGGCAGGATTTGGAAAA
AAAGGAATTGAACTTCAAGAAATTGTTATGAAAAAACTGGGAATAAAACC
TGCATTGATTTCCAATCAAGTTGTTCAAAGGGATGTTTTTTCAGATTTCA
TCTACCTCAATGCATTAATTGCAGCAAATCTAGAAAAAATAGCTAAGGAG
ATAAGGAATTTGCAAAGAACAGAGATAGGAGAAATGCTTGAACCTTTTAA
AGAAAAACAAGCAGGTTCTTCTACTATGCCACATAAAAGAAATCCTCATA
GATCGGAGAGAATTTGTAGTTTAGCAAGATATCTTAGAAGTTTGGTTACT
GTTTCTTTGGAAAACATTGCTCTTGAACATGAAAGGGATCTTACGAATAG
CGCAAACGAGAGAATAATAATATCTCATTCTTTTATTTTGGTTGATTATA
TTCTCAATGAGGCTATTGATATTCTTAAGAATCTTGTAATAAATGAAAAA
AATGTAGAAAGGAACTTGAATTTGCTTAGGGGTATAAATCTATCGGAAAA
TGTTATGCTAAAGCTGGTTGATAAAGGAATGTCAAGAGAAGAGGCCTATG
AAATCATTAGAAACACTGCTATAAAAAGCTATGAAGAAGAAAAGGATTTT
ATTCAAGAGCTTCTTAAAAATGAAAAAGTAAGTTCTTTCATAAAAGAAAG
TGAACTAAAAGAATTACTTAATCCTAAAAATTATTTAGGATTGGCTGAAA
AAATTGTGGAAAGGTCTATTCACGAAATAAAGTCTCAGCTAAATCTATAG
</t>
  </si>
  <si>
    <t>2.1.2.3</t>
  </si>
  <si>
    <t>AICAR transformylase/IMP cyclohydrolase PurH (only IMP cyclohydrolase domain in Aful)</t>
  </si>
  <si>
    <t>cren1_8best_scaffolds_00008770</t>
  </si>
  <si>
    <t>MKKYALVSVTEKSQVLVELCKKIKQIGYEIIATKGTKNFLELNGVACKGI
DELFGFKEALGGKVKTLHPLIHEMILADRESKEEISSLSEQGLIDFVIVN
FYKINLEDPGSFLNSMDIGGRALISSAIKNCKHVAVAFNDETYQILLEEI
SNKNYVSEETRKKLASLAFKYLINYEIVAYTYISEIFANEVSFGFLLSNG
KKLKYGENPHQYAFLFDYNTDLSIKVSKVHGEELTYNNYLDIDSSIRLLS
ELKEKACVIIKHTNPCGVACDPDEKECFKKAYNADPISAYGGILSFNFTV
NKDLALEISKHFFDIILAKDFDKEALGILKNKKRTRILKCEGIDQDLSPA
LELRSIVNGILIQSRNTRKISEKDLVYVTKRKPNEKEIEDLIFAWKVVKS
VFSNGIVVAKNKTTLGIGSGQMSRVDSVKIALEKAGSNAKGAVLASDGFF
PFRDSIDLAAKYGISSIIQPGGSIRDDEVIKAADEQNITMVFTGIRCFRH</t>
  </si>
  <si>
    <t xml:space="preserve">ATGAAAAAATACGCGTTGGTATCAGTTACTGAGAAAAGCCAAGTCTTAGT
AGAACTTTGTAAAAAAATAAAGCAAATAGGCTATGAAATAATTGCAACTA
AAGGAACAAAAAATTTTCTTGAATTGAACGGTGTAGCTTGCAAGGGGATC
GATGAATTGTTTGGATTTAAAGAAGCCCTCGGTGGAAAGGTAAAAACTTT
GCATCCTTTAATCCATGAAATGATCTTAGCTGATCGTGAATCAAAGGAGG
AAATTTCTTCATTAAGTGAACAAGGATTGATAGATTTTGTAATCGTAAAT
TTTTACAAAATAAATTTAGAAGATCCAGGCTCTTTCTTGAATTCAATGGA
TATAGGAGGAAGGGCATTGATTTCTTCAGCAATTAAAAACTGTAAACATG
TAGCTGTAGCTTTTAATGACGAAACTTACCAAATTCTTCTTGAAGAAATT
TCGAATAAAAATTATGTTTCTGAAGAAACTAGAAAGAAGCTAGCATCTTT
AGCTTTCAAGTATTTAATAAACTACGAAATAGTAGCATATACTTATATTT
CAGAAATATTTGCAAACGAAGTCTCATTTGGTTTTCTTCTAAGTAATGGA
AAGAAACTTAAATACGGAGAGAATCCTCATCAATATGCCTTTTTATTCGA
TTATAATACCGATCTCTCAATCAAAGTTTCCAAAGTTCATGGGGAAGAAC
TTACTTATAACAATTATTTGGACATTGACAGTTCAATTAGGCTATTATCT
GAGTTAAAAGAAAAGGCATGTGTAATAATAAAGCATACAAATCCTTGTGG
TGTTGCATGCGATCCAGATGAAAAGGAATGCTTTAAAAAAGCTTACAACG
CCGATCCTATATCAGCTTACGGAGGAATCCTTTCTTTCAATTTTACCGTA
AACAAAGATCTTGCATTAGAAATTTCAAAACATTTCTTCGATATAATATT
GGCAAAGGATTTTGATAAAGAAGCATTGGGAATTCTTAAAAATAAGAAGA
GAACAAGGATATTAAAATGCGAAGGAATTGATCAAGATCTTTCTCCTGCC
TTAGAATTGAGAAGTATTGTTAACGGCATCCTTATTCAATCAAGGAATAC
TAGAAAAATTAGCGAGAAAGATCTTGTATACGTTACAAAAAGGAAGCCAA
ATGAAAAAGAAATAGAAGACTTAATTTTTGCATGGAAAGTTGTAAAAAGT
GTTTTCTCAAACGGCATAGTAGTTGCAAAAAACAAAACAACTTTAGGAAT
AGGTTCAGGACAAATGAGCAGGGTAGATTCTGTAAAAATAGCTTTGGAAA
AAGCAGGAAGCAATGCCAAAGGAGCTGTACTTGCTTCAGACGGCTTCTTC
CCTTTCAGAGATAGCATAGATTTGGCTGCAAAATACGGAATTTCATCGAT
AATACAGCCTGGAGGTTCTATTAGAGATGATGAAGTTATTAAAGCAGCTG
ATGAACAAAACATAACAATGGTTTTTACTGGAATAAGATGTTTTAGACAT
TAA
</t>
  </si>
  <si>
    <t>1.1.1.205</t>
  </si>
  <si>
    <t>inosine-5'-monophosphate dehydrogenase</t>
  </si>
  <si>
    <t>cren1_8best_scaffolds_00005400</t>
  </si>
  <si>
    <t xml:space="preserve">MVRLKDLGIEENYAFNFDDFILVPQYIDIEPSEISLQTKFTTNITLNVPF
VSSPMDTVTEAEMAITLARNGGIGVIHRNCSIEEQIEQVKRVKRAESFII
RDVVVIHPDATVGEAAKQMQEHGISGLPVVDENNKLLGIITGRDVRFASP
EIKVREAMTKDVIVANEKITPETSIELMKKYRIEKLPVVDENNRLVGLIT
YKDVSLRGKYKDAVRDEQGRLRVAAAVSPFDLDRAVKLSKFVDALVIDVS
HFHNENVISSTKKIIEKVQCDVVIGNLGSKEGVLDSLSKLDKVAGLRVGI
GSGSVCTTTQLTRAGSPTLYAVAKAREALDEIGMEIPIIADGGIRNAGDI
AISIAFGASCAMMGYLFAGCKESPAPMMILGGRYYKLHRGMGSVSARQKR
IAVDRYARLSKEIAEGTEAWLPYKGEATNVIQELAAGLRAAMGYAGARNI
KELQTLAKVKRVSTTVFTKATDLLFPGETR
</t>
  </si>
  <si>
    <t>ATGGTAAGGCTTAAAGATTTAGGAATTGAAGAAAATTATGCATTTAATTT
TGACGATTTCATTCTAGTACCTCAATATATAGATATTGAACCATCAGAAA
TTTCACTGCAGACAAAGTTTACGACTAATATTACTTTAAACGTGCCTTTT
GTTTCTTCACCTATGGATACAGTTACCGAAGCGGAAATGGCTATTACTTT
AGCAAGAAATGGGGGGATAGGTGTTATTCATAGAAACTGTAGTATAGAAG
AGCAAATTGAACAAGTTAAAAGGGTAAAAAGAGCAGAATCTTTCATAATA
AGAGATGTTGTTGTAATCCATCCAGATGCCACTGTAGGTGAAGCTGCAAA
GCAAATGCAAGAACATGGAATTTCAGGCTTACCTGTGGTGGATGAAAACA
ATAAACTTTTAGGAATAATAACAGGCAGGGATGTTAGATTTGCTTCCCCT
GAAATAAAAGTAAGAGAAGCGATGACAAAGGATGTTATAGTAGCAAATGA
AAAGATCACTCCTGAAACTTCCATTGAACTTATGAAGAAGTATAGGATTG
AGAAGTTGCCTGTTGTTGATGAAAATAACAGACTTGTAGGTCTAATAACC
TATAAAGATGTTAGTCTTAGAGGAAAGTATAAAGATGCAGTTAGAGATGA
GCAAGGAAGATTAAGGGTTGCAGCAGCTGTTTCACCCTTCGATTTGGATA
GAGCTGTAAAGCTTTCGAAGTTCGTTGACGCATTGGTAATAGATGTATCA
CATTTCCATAATGAAAATGTGATTTCTTCTACAAAGAAGATAATAGAAAA
AGTTCAATGTGATGTAGTAATAGGAAATCTAGGCTCAAAAGAAGGAGTTT
TAGATTCTTTAAGTAAACTTGATAAAGTAGCAGGATTAAGGGTTGGAATA
GGAAGCGGTTCTGTATGTACGACTACGCAACTAACAAGAGCGGGTTCACC
AACTTTATATGCTGTTGCAAAGGCAAGGGAAGCTCTGGATGAAATTGGAA
TGGAAATACCCATAATAGCTGATGGCGGTATAAGGAATGCAGGAGATATC
GCCATTTCAATCGCCTTTGGGGCTTCGTGTGCAATGATGGGATATTTATT
TGCAGGTTGCAAAGAAAGCCCTGCGCCTATGATGATTTTAGGAGGAAGGT
ATTATAAGCTTCATAGAGGTATGGGAAGCGTAAGCGCAAGACAAAAAAGG
ATTGCAGTTGATAGATATGCAAGACTTTCTAAAGAGATAGCTGAAGGTAC
AGAAGCTTGGTTACCTTACAAAGGAGAAGCAACTAATGTAATTCAAGAGT
TAGCAGCTGGATTGAGGGCCGCTATGGGATATGCAGGCGCAAGAAATATC
AAAGAATTACAAACTTTGGCAAAGGTAAAAAGAGTTTCAACAACAGTTTT
CACAAAAGCTACAGATCTTCTCTTCCCTGGTGAAACTAGATAG</t>
  </si>
  <si>
    <t>6.3.5.2</t>
  </si>
  <si>
    <t>GMP synthase, PP-ATPase domain/subunit</t>
  </si>
  <si>
    <t>cren1_8best_scaffolds_00005370</t>
  </si>
  <si>
    <t>MKIYGKDVKDFVEDVVNEIKKTVGNKIVVAAISGGVDSTVAAFLCWLALG
NNVKPVIIDTGFMREGEIENVVKKLEEIGIHTEVIDASSEFYEALLNKKD
AEEKRKIFREKFYETLAKVVKNFNASYIVQGTIAPDWIETKGGIKTQHNV
LLQIGIEPYEKYGFNIIEPLANLYKDQVRTIAEYLNIPKEIIYRQPFPGP
GLLIRCVGEFDIDKLKALKNVTKICEPYLEKINASQSFLAIFKKPRMATS
SKIVEFLRETKRIIGIGGRGFKNYEFYELATGVKGDSRVYGKMLGMYYKE
FEKFLEHKDELLQEFVRTLPDYTRLLIMISEPRPAGKYAIAIRAVLTKDF
MTASVPNLDLDLAQKMVDEILKDIRITQVYYDITPKPPATIEYE</t>
  </si>
  <si>
    <t>ATGAAAATATACGGTAAAGATGTTAAAGATTTTGTTGAAGATGTAGTTAA
TGAGATAAAGAAAACAGTAGGAAATAAAATAGTTGTAGCCGCCATATCCG
GCGGTGTTGATAGTACTGTTGCTGCATTTTTGTGTTGGTTAGCTTTGGGA
AACAATGTAAAGCCTGTTATTATAGATACTGGTTTCATGCGAGAAGGAGA
AATTGAAAATGTTGTAAAGAAACTTGAAGAAATTGGTATACATACAGAGG
TAATAGATGCTTCATCGGAATTTTACGAGGCGTTGTTAAATAAAAAAGAC
GCTGAGGAAAAAAGAAAAATTTTTAGAGAAAAATTTTATGAAACTCTTGC
TAAGGTTGTAAAAAATTTCAATGCATCATACATAGTTCAAGGAACAATAG
CGCCAGATTGGATTGAAACCAAAGGAGGGATTAAGACACAACATAATGTT
CTTTTACAGATAGGAATTGAACCTTACGAAAAATATGGTTTTAACATAAT
TGAACCTTTGGCCAATTTGTACAAAGATCAAGTTAGAACAATAGCTGAGT
ATTTAAATATTCCAAAAGAAATTATCTACAGACAGCCATTCCCTGGACCA
GGACTACTAATAAGATGTGTAGGCGAATTTGATATAGATAAATTGAAAGC
TCTTAAAAACGTAACAAAAATTTGTGAACCTTATTTAGAGAAAATTAATG
CCTCGCAGTCATTTTTGGCAATATTTAAGAAACCAAGAATGGCAACATCT
TCTAAAATAGTTGAATTCTTAAGGGAAACAAAAAGAATCATAGGTATTGG
CGGAAGAGGATTCAAGAATTACGAATTCTATGAACTTGCTACCGGAGTTA
AAGGCGATTCTAGAGTTTATGGTAAAATGCTTGGAATGTACTATAAAGAA
TTTGAGAAGTTTCTTGAACATAAAGATGAACTTCTACAAGAATTTGTAAG
GACACTTCCAGATTATACAAGATTGTTGATAATGATCTCTGAACCTAGAC
CTGCCGGTAAATATGCAATAGCGATAAGAGCTGTGCTTACAAAGGATTTC
ATGACCGCAAGTGTTCCAAATTTGGATTTAGATTTAGCTCAAAAGATGGT
TGATGAAATACTCAAAGATATAAGAATAACTCAGGTTTATTACGATATTA
CTCCAAAGCCACCTGCAACAATTGAATATGAATAA</t>
  </si>
  <si>
    <t>GMP synthase - Glutamine amidotransferase domain</t>
  </si>
  <si>
    <t>cren1_8best_scaffolds_00005380</t>
  </si>
  <si>
    <t>MNKKKVIILGPRGQYNHLIYRRVNELDYEAYLYDFYEDVQIEGDAVIIGG
GPARLEKNSYEVKKVKEIVDRLNKPILGICLGFQILSLIFNGELTTAKPN
FGPKKIYIKKYDEIFEGMPKEFTAWESHNDTLSKIPKNFEVLAISKDKNS
EVIEVIKHINKPFYGVQFHPEVDHTEFGKLILKNFLKFHV</t>
  </si>
  <si>
    <t>ATGAATAAAAAGAAAGTTATAATCCTTGGACCTAGAGGTCAATACAACCA
TCTTATATATAGAAGGGTAAACGAGCTGGATTATGAAGCTTACCTTTATG
ATTTTTACGAAGACGTTCAAATTGAAGGAGATGCAGTAATAATAGGAGGA
GGACCTGCTAGACTTGAGAAAAACAGCTATGAAGTAAAAAAAGTTAAAGA
GATTGTAGACAGACTTAATAAGCCAATTTTAGGTATATGTTTAGGGTTTC
AAATTTTAAGCCTAATATTCAATGGCGAATTAACAACAGCTAAACCAAAT
TTTGGTCCTAAGAAAATATACATTAAGAAATATGACGAAATTTTTGAAGG
AATGCCTAAAGAGTTTACTGCATGGGAAAGTCATAATGATACCCTTTCAA
AAATTCCAAAGAACTTTGAAGTCTTGGCAATATCTAAAGATAAGAACAGT
GAGGTTATTGAGGTTATAAAACATATAAACAAGCCTTTTTATGGTGTACA
ATTTCATCCTGAAGTAGACCATACAGAGTTTGGTAAATTGATCTTAAAAA
ATTTTTTAAAGTTTCATGTCTGA</t>
  </si>
  <si>
    <t>2.7.4.3</t>
  </si>
  <si>
    <t>Archaeal adenylate kinase</t>
  </si>
  <si>
    <t>cren1_8best_scaffolds_00011480</t>
  </si>
  <si>
    <t>MKIVLVSVPGGGKTTIMQMVKKELPEVKIVNYGDVMLKIAKERYGINDRD
EMRKKIPVEEYKRLQLDAAKEIGNMKGDLIIDTHVSIKMQGGYYPGLPEE
IAKAISPDVIIVTEYNPEDIIERRKKDMNLKQATQVQEGIMSVPRTGREI
ESNEEIEMHQTMNRLFAVAAANSAQSLLVILNLRFKQTREFEHAEIASKK
IIEMFRKKSG</t>
  </si>
  <si>
    <t xml:space="preserve">ATGAAAATTGTTCTTGTATCTGTACCTGGGGGAGGTAAAACTACAATAAT
GCAAATGGTAAAGAAAGAGTTGCCAGAAGTGAAAATTGTAAACTATGGAG
ATGTAATGTTGAAGATAGCAAAAGAAAGATATGGAATAAATGACAGAGAT
GAAATGAGAAAAAAGATACCGGTTGAAGAATACAAAAGGCTTCAATTAGA
CGCTGCTAAAGAAATAGGCAACATGAAAGGAGATTTGATAATTGATACAC
ATGTTAGCATAAAAATGCAAGGTGGCTATTATCCTGGTCTTCCTGAAGAA
ATTGCTAAAGCTATAAGCCCTGATGTAATAATTGTTACAGAGTACAACCC
TGAGGATATAATAGAAAGAAGAAAAAAAGATATGAATTTAAAACAGGCAA
CGCAAGTTCAAGAGGGAATTATGAGCGTGCCTAGGACAGGAAGGGAAATT
GAAAGCAACGAGGAAATAGAAATGCATCAAACAATGAATAGATTATTTGC
TGTTGCAGCGGCCAATTCAGCACAAAGTTTACTGGTTATTTTGAATCTTA
GATTTAAACAAACAAGAGAATTTGAACATGCAGAGATCGCTTCCAAAAAA
ATCATTGAAATGTTCAGGAAGAAAAGTGGTTAG
</t>
  </si>
  <si>
    <t>2.7.4.8</t>
  </si>
  <si>
    <t xml:space="preserve">ATGGAAAGGACCTTTGTACTTTTAAAGCCAGATGCCGTACAAAGGGGACT
TATTGGAGAGATAATATCAAGATTTGAAAGAACAGGATTAAAAATAGTTG
CATTGAAAATGATAAGACCAACAAAGGAACAGGCAATGAATTTTTATCCT
TCAGACGAGGAATGGCTAACATCGGTAGCAAATAAATCTTTAACAGTTTA
TAAGCAACTAGGTATTGATCCAAAGAAAGATTTTGGAACAACAGATCCTA
TTGAAATAGGAAAAATAATTAAAGAATGGCTCGCAGAATTCATCGCTTCC
GGCCCTTGCGTTGCTATGGTAATCGAAGGAAACAGAGCCATTGAAGTTGT
TAGAAAAATTGTCGGAGCAACAAGACCATATGAAGCTCAACCGGGCACTA
TAAGAGGTGATTACTCTACTGACAGTCCTGAATTGGCTAATATATTGAAA
AGGCCTCTTAGAAATCTAGTCCATGCATCTGACAGCAAGGAGGTTGCAGA
AAAAGAAATAAAATTCTGGTTTAAAGATGATGAAATAATAAAATACAAAA
GAGCAGATGAAAACATAATATACGGACTATAA
</t>
  </si>
  <si>
    <t>ribonucleoside-diphosphate reductase, adenosylcobalamin-dependent</t>
  </si>
  <si>
    <t>cren1_8best_scaffolds_00014460</t>
  </si>
  <si>
    <t xml:space="preserve">MKKEIGVELQKEIQILRTKIGLMFENPEAKVVQILGKERIDLFKRVYEAM
LNLMEKGNLPVHPNYLGDNSLAKSIYEKKYFLKDLEGNLIETRPEHLFLR
VASFIASAEEDFEKALKLAKIFYHIIFEGYFMPAGRVLAGAGDLYRAKTL
ANCFVSMIEDDSIEAIYKAAYEAARTYSYGGGIGIDVSVLRPKGSRIHNA
AITSTGSVSFLELYSLTTGLIGQEGRRGALMLTIDVKHPDVIEFIKCKQI
PNWVTSQIVEQLKFTGMFNEAQLKEIEKQVMENTQVRFANISIKVSNEFM
RAVEEQINFGPNKILVYKKKRKGVLRRIDNIKDVHYSYGIPSKNISDYEL
IKIFDKIEELNEFLSLEYKDYKILVKEEDLTNVYKRDVYGDYVIELPNKD
YDLAVRFSGDFLLYFSSDKTGEIRKLIKARDVWNTFIESNYKTAEPGIMF
WERMKNYSPSDHVGIPIVTTNPCAEVPLEDGGACNLGSINLSRIVSDPFT
NFSRINWKKLKRIVKYAVRFMDNVIYWNIYLHPLEKQRNASKRTRRIGLG
VMGIADMFYQLRIDYDSPEAMRTLEKVMRRIANYAYATSAMLAKEKGKLE
IDYEKYLQNPFIKESIHEKVKELIRKYGIRNIAVLSIAPTGTISNIVKSF
EYNGKNYLGVSGGIEPVFEMFYLRRTESFDRNIQYKVFHSTIQAYIDMKG
INKHVQDAEGLKELKNILPPFFFRTAHVIDPFKRIEIQAIAQRYIDHSIS
STINLPEEVHPELLSKLYFYAWKAGLKSVTIYREGSRFPILKRLREKSKF
DEFKNKIFEIDDGKNKYQVKGDEIIEMPDGTLTTPYHLLNKIEVGG
</t>
  </si>
  <si>
    <t>ATGAAAAAAGAGATTGGTGTTGAGCTTCAGAAGGAAATTCAAATTCTAAG
AACTAAAATAGGGTTGATGTTTGAAAATCCTGAAGCAAAAGTAGTTCAAA
TACTAGGCAAGGAAAGAATTGATTTATTCAAGAGAGTTTATGAGGCCATG
CTCAACTTGATGGAAAAAGGAAATTTACCAGTTCATCCAAACTATCTTGG
AGATAATAGTTTAGCTAAAAGCATCTATGAGAAAAAATATTTCTTAAAAG
ACTTGGAAGGAAATTTAATAGAAACAAGGCCTGAGCATTTATTTTTAAGA
GTAGCTTCTTTTATAGCTTCTGCTGAAGAAGACTTTGAAAAGGCTTTGAA
GTTAGCAAAGATATTCTATCATATAATTTTTGAAGGATATTTCATGCCAG
CTGGAAGAGTTCTTGCAGGGGCAGGCGATCTATATAGAGCTAAAACTTTA
GCTAACTGTTTTGTTTCAATGATTGAAGATGATAGCATTGAAGCTATTTA
CAAGGCTGCGTATGAAGCTGCTAGAACATATTCCTACGGAGGAGGAATAG
GAATTGATGTATCAGTTCTAAGACCAAAGGGCTCAAGGATTCATAATGCT
GCAATCACTTCAACAGGAAGCGTAAGTTTCTTGGAACTTTATTCTTTAAC
TACTGGATTGATTGGGCAGGAGGGGAGAAGAGGTGCTTTAATGTTAACTA
TAGATGTAAAGCATCCCGACGTTATTGAATTTATAAAATGCAAGCAAATA
CCGAATTGGGTAACTTCCCAAATAGTTGAACAACTTAAGTTTACTGGGAT
GTTTAATGAAGCTCAGCTTAAAGAGATAGAGAAGCAAGTTATGGAGAATA
CCCAAGTAAGGTTTGCAAATATAAGCATAAAGGTCAGCAATGAATTCATG
AGAGCTGTTGAAGAACAAATAAACTTTGGTCCGAATAAGATACTTGTTTA
TAAAAAGAAAAGAAAGGGAGTTTTGAGGAGAATTGATAACATCAAAGATG
TTCATTATTCTTATGGCATTCCTTCGAAAAACATAAGCGATTATGAACTT
ATTAAAATCTTCGATAAAATAGAGGAATTGAATGAGTTTTTATCTTTAGA
ATATAAGGATTATAAAATTCTCGTAAAAGAAGAAGATTTAACTAACGTAT
ACAAAAGGGATGTATATGGAGACTATGTTATAGAGCTTCCCAATAAAGAC
TATGACTTGGCAGTTAGATTCTCAGGAGATTTTCTCTTATACTTCTCATC
GGATAAAACTGGAGAGATAAGGAAGTTAATAAAAGCAAGGGATGTATGGA
ATACATTCATTGAATCAAACTATAAAACAGCTGAACCAGGAATAATGTTC
TGGGAAAGAATGAAAAATTATTCTCCTTCTGATCATGTAGGAATACCTAT
AGTTACAACTAACCCATGTGCAGAAGTTCCTTTGGAGGACGGAGGTGCAT
GCAATTTGGGTTCAATAAATCTTTCAAGAATTGTTTCAGATCCTTTCACG
AACTTTTCTAGAATAAACTGGAAGAAATTAAAGAGAATAGTAAAGTATGC
AGTAAGATTTATGGATAATGTAATTTACTGGAATATTTATCTTCATCCTT
TAGAAAAACAGAGAAATGCTAGCAAGAGAACAAGGAGAATTGGTCTAGGT
GTAATGGGGATTGCTGATATGTTTTATCAACTGAGAATAGATTACGACAG
TCCAGAAGCAATGAGGACTTTAGAAAAAGTTATGAGAAGGATTGCTAACT
ACGCTTATGCTACTTCAGCAATGCTTGCAAAAGAGAAAGGAAAGCTTGAA
ATTGACTATGAAAAATATCTTCAGAATCCCTTTATTAAAGAATCGATACA
TGAAAAGGTAAAAGAACTTATAAGGAAATATGGAATAAGGAACATAGCTG
TTCTATCAATAGCTCCAACAGGAACAATATCAAACATCGTTAAATCCTTT
GAATATAACGGAAAGAATTATTTGGGAGTGAGCGGTGGAATTGAACCTGT
TTTCGAAATGTTCTACCTTAGAAGAACAGAATCCTTCGATAGAAACATCC
AGTATAAAGTATTCCATAGTACTATACAAGCATACATTGACATGAAAGGA
ATTAATAAGCATGTTCAAGATGCTGAAGGGCTGAAGGAGCTTAAAAACAT
ACTTCCACCGTTTTTCTTTAGAACAGCACATGTAATAGATCCTTTCAAGA
GAATTGAAATTCAAGCAATAGCTCAGAGATATATCGATCACAGTATATCT
TCAACAATAAATCTTCCAGAGGAAGTTCACCCTGAACTACTTTCAAAGTT
ATATTTCTATGCATGGAAAGCTGGTCTTAAGAGTGTTACAATTTACAGGG
AAGGAAGCAGATTCCCAATACTCAAAAGGTTAAGAGAGAAAAGCAAATTT
GATGAATTTAAGAACAAAATATTTGAGATTGATGATGGAAAAAATAAATA
TCAAGTAAAAGGAGATGAAATAATAGAAATGCCTGATGGAACCTTAACTA
CTCCATATCATCTTTTGAATAAAATAGAGGTGGGAGGATGA</t>
  </si>
  <si>
    <t>1.17.4.-</t>
  </si>
  <si>
    <t>1 Ornithine  = 1 L-Proline + 1 NH3 + 1 Proton</t>
  </si>
  <si>
    <t xml:space="preserve">VPAKYSPFEGALKQLEKASNFLKLEPHILEILKRHQKVITVNIPVKMDDG
SVKVFTGYRAQHNNFRGPYKGGIRYHPDVTLDEVLALSMWMTWKCAVIDI
PFGGGKGGIACPIKYMSTNEKERMTRKFIQFIAKDIGPELDIPAPDVYTD
SQTMAWIFDEYSKIVGYPAYGVVTGKPIELGGSLGRTQATGYGVAACVKE
AAKLFNKDMKEISIAIQGFGNVGYYAAERLYKWGAKIVAISDSQGGIYDK
EGLDPLDLMEYKKKVGTVVGYRERRKISNEALLISECDVLIPAALEDQIT
ASNADQIKAKIIVEGANGPTTPEADEILFKKGIYVVPDILANAGGVTVSY
FEWVQNFQKVQWDEQTVLNRMEEKIVKSFKDVNETAAKYKVDNRTAALIL
AISRVVEAYKLRGQY
</t>
  </si>
  <si>
    <t>GTGCCTGCAAAGTATTCTCCATTTGAAGGAGCACTGAAGCAACTTGAAAA
AGCATCGAATTTTCTTAAGCTGGAACCACATATTCTTGAGATTTTAAAAA
GGCACCAAAAGGTAATCACAGTAAATATCCCTGTTAAAATGGATGATGGT
TCAGTCAAAGTTTTCACAGGTTATAGAGCTCAGCATAATAACTTTAGAGG
TCCTTACAAAGGTGGAATAAGATATCACCCAGATGTTACATTAGATGAAG
TATTAGCTCTGTCTATGTGGATGACTTGGAAATGTGCTGTTATAGACATA
CCATTTGGAGGAGGAAAGGGGGGAATAGCATGTCCTATTAAATATATGTC
AACAAATGAAAAGGAAAGGATGACGAGGAAGTTTATCCAGTTTATTGCTA
AAGATATAGGTCCTGAATTGGATATTCCAGCTCCCGATGTTTATACAGAT
TCTCAAACAATGGCTTGGATATTCGACGAATATTCTAAAATTGTAGGTTA
TCCTGCATACGGTGTCGTTACTGGTAAGCCAATCGAATTAGGTGGCTCAC
TTGGTAGAACGCAAGCTACAGGATACGGAGTTGCAGCGTGTGTTAAAGAA
GCTGCGAAATTATTTAACAAAGACATGAAAGAGATATCAATCGCGATACA
AGGTTTCGGAAATGTTGGTTACTATGCAGCTGAAAGGCTTTATAAATGGG
GAGCTAAAATAGTAGCTATCAGCGATTCACAGGGAGGAATTTATGACAAA
GAAGGGCTTGATCCTTTGGATTTAATGGAATACAAGAAAAAAGTCGGTAC
AGTTGTTGGTTATCGCGAAAGAAGAAAAATCTCTAATGAAGCTTTGTTAA
TCTCTGAATGTGATGTGCTAATTCCTGCCGCATTGGAGGATCAGATTACC
GCAAGCAATGCTGATCAAATTAAAGCTAAAATAATAGTCGAAGGAGCAAA
TGGTCCTACAACGCCTGAAGCAGATGAGATCTTATTTAAGAAAGGCATAT
ACGTAGTTCCTGATATTCTTGCAAATGCTGGAGGTGTTACAGTTAGCTAT
TTCGAATGGGTTCAAAATTTCCAGAAAGTACAATGGGATGAACAAACAGT
CTTGAATAGAATGGAGGAAAAAATTGTAAAATCTTTTAAAGACGTGAATG
AAACAGCTGCAAAATATAAAGTTGATAACAGAACGGCTGCTTTAATTCTT
GCAATAAGCAGAGTAGTCGAAGCATATAAATTAAGAGGGCAATATTGA</t>
  </si>
  <si>
    <t>1.4.1.13</t>
  </si>
  <si>
    <t>Glutamate synthase domain 2</t>
  </si>
  <si>
    <t>VIIINKYLPLPPYSTTEFWDFEKISHIRSLALFGKPKRIYENRNPSLRIL
DRINFIGIKDYKIDEDPVSNLSCYVANIRLSSPLYLGDMSYGSLSGNPNI
AIAKVADLAEILAGTGEGGLHPEVSKYNRIFIQWASARFGVDINVLMKGC
GVVIKIGQGAKPGIGGHLPGSKVTEPISLTRRIPIGIDAISPAPHHDIYS
IEDLGQRIEALKEATGKPVFVKVAATNYIPYIVSGIARMGADGVIIDGHG
AGTGAAPAVVKDNVGIPIELAVASADKILKDEGLRKNFSIIAAGRVSCAM
DAAKLIALGADVVSLGTAALLAMGCLMIHKCHLGSCPVALTNKIDGTKIL
DLDFATKNLYNFVKGFSLELANILDNIGLASIEELKGRRELLYGKGLSED
VLRILDIEGESEELNFKMGELWNKRRKNNLNELMKKGDAVISSMGSTAPP
DVELPARILDWIRADGAQVTRPSIDPYREEIDTSFILNKGRIKISIPIIF
NVIDAFDEIRKAISWASLALSSLIFSYNSEEPYSSITISLDGNGIAKWSK
IPEAGSYLLVPSNEGIFDDVYEIKDISGYIVDEDLGNDELELIVSDLDTF
LKKRGIRNNFDIIAKSSKIRDAGDVFKLIALGADAVILSSNIFEIALEGS
YRSNLKEKAFNLMIGLKRELALLAGAAGIYSLQSTLTGNRELLRSINLNK
KIREKLRIKQAGSL</t>
  </si>
  <si>
    <t xml:space="preserve">GTGATTATAATCAACAAGTATCTTCCACTTCCACCATATTCAACTACTGA
ATTTTGGGATTTTGAAAAGATATCTCATATAAGATCTTTAGCTTTATTTG
GAAAACCAAAAAGGATTTATGAAAATAGAAACCCATCTTTAAGGATTCTC
GATAGGATTAATTTCATAGGTATAAAAGATTACAAGATTGATGAAGATCC
AGTTTCTAACCTAAGTTGCTATGTTGCAAACATACGATTATCTTCACCCC
TTTACTTGGGTGACATGTCCTATGGATCTTTGAGTGGAAATCCCAATATT
GCTATAGCAAAAGTCGCAGATTTGGCAGAGATTTTAGCTGGAACAGGAGA
GGGAGGATTGCATCCAGAGGTATCCAAGTATAATAGAATATTCATTCAAT
GGGCTTCAGCAAGATTTGGTGTAGATATAAATGTATTGATGAAAGGATGC
GGTGTAGTAATTAAAATAGGTCAAGGAGCAAAGCCTGGAATAGGAGGACA
TTTACCAGGTTCTAAAGTTACTGAACCAATTTCATTAACGAGAAGAATTC
CAATAGGTATAGATGCAATCTCTCCTGCACCCCATCATGATATATATTCC
ATAGAGGATTTAGGTCAAAGAATTGAAGCTTTAAAAGAAGCTACAGGAAA
ACCAGTATTCGTAAAGGTTGCAGCTACGAATTATATTCCTTACATTGTTT
CAGGAATTGCAAGGATGGGTGCTGATGGAGTTATAATAGACGGGCATGGA
GCTGGAACAGGAGCTGCACCAGCAGTTGTAAAGGATAATGTAGGAATACC
TATTGAATTAGCGGTTGCTTCTGCAGATAAAATCTTAAAAGATGAAGGAT
TAAGAAAGAATTTTTCAATAATTGCTGCAGGAAGAGTATCGTGTGCAATG
GATGCTGCAAAATTAATAGCTTTAGGGGCAGATGTGGTAAGTTTAGGAAC
CGCAGCTCTATTAGCAATGGGCTGTTTAATGATACACAAATGCCATCTAG
GTTCATGTCCAGTAGCGTTAACAAACAAAATAGACGGAACAAAAATTTTA
GATCTTGATTTTGCAACTAAAAACTTGTACAATTTTGTAAAAGGATTTAG
TTTGGAACTTGCTAACATTTTGGATAATATAGGCCTGGCTTCCATAGAAG
AATTGAAAGGGAGGAGGGAATTGCTTTATGGCAAAGGCTTGTCTGAAGAT
GTTTTAAGAATACTTGATATAGAAGGAGAATCTGAAGAATTGAATTTCAA
GATGGGTGAACTATGGAATAAAAGAAGAAAAAATAATTTAAATGAACTAA
TGAAAAAGGGTGACGCAGTAATAAGTAGCATGGGTAGCACGGCACCTCCT
GATGTTGAATTACCAGCGCGTATATTGGATTGGATTAGAGCTGATGGTGC
CCAAGTAACAAGACCTTCGATTGATCCGTATAGAGAAGAAATTGATACTA
GCTTTATCTTAAATAAAGGAAGAATAAAAATTTCCATACCTATAATATTT
AACGTAATCGATGCTTTTGATGAAATAAGGAAAGCAATTTCATGGGCTTC
ATTAGCATTGTCTTCTTTAATATTTTCATATAATTCAGAAGAACCTTATT
CTTCCATTACAATTTCTTTAGATGGCAATGGAATAGCTAAATGGTCCAAG
ATACCTGAAGCTGGTTCTTATTTATTGGTCCCATCAAATGAGGGTATTTT
CGATGATGTCTATGAAATTAAAGATATTTCTGGATATATTGTAGATGAGG
ATTTGGGAAATGACGAGTTAGAATTGATTGTTTCAGATTTGGATACATTT
CTTAAGAAAAGAGGAATTAGGAATAACTTTGATATTATAGCAAAGTCTAG
CAAAATAAGAGATGCAGGGGATGTTTTTAAACTAATAGCCTTAGGAGCAG
ATGCTGTAATATTATCTTCAAACATTTTTGAGATAGCCTTGGAGGGAAGC
TATAGAAGCAATTTGAAGGAGAAAGCTTTCAATTTGATGATAGGTTTAAA
GAGGGAATTAGCATTGTTGGCTGGAGCAGCAGGCATTTATAGTCTTCAAT
CAACTCTAACTGGAAATAGAGAGCTTCTTAGATCGATAAACTTGAATAAA
AAAATAAGGGAAAAATTAAGGATAAAGCAAGCAGGTTCATTATGA
</t>
  </si>
  <si>
    <t>MDNLGFNTRAVHSGELIDKRFGNVVTPIFQNATFLYPNEEEFAYIDPTRN
KPYLYTRLGNPTFSSLESKISSLENSKFSLSFSSGMASIVSSILSILKKG
DSMLAINQLYGQTYEFFIKLKNNFGIEVDFVSVDEINNLEIPNKKYKLIY
IESITNPTLQVTDVYEISKFSKEIGAKLIVDATFASPYNQRPLDFGATIS
VHSGTKYISGHSDVIIGISSTNDKEIYDGLVENRNNMGGVPDPFSAYLTL
RGVKTLGLRMERHQDNAFKLAKFLRDHRKVSRVFYPGLEENEYHKVAKKV
LKGFGGMLSFEIKGGIESARKFLRNLKICIVAPSLGGVETLVTLPIETSH
RQLSKEEMNKMGISEGLVRVSVGIEDYEDLENDFSQALDKV</t>
  </si>
  <si>
    <t>MKVEDLSSKIASPEEAIKKYFPKKGIIAFGGMAGTSYPKAIPKKLSELIQ
KGEFDASDYVILSGGTETMEFESWISNLKISRKFPLGASSTILRDPVNER
KIPAMDYWLYEFSSLISRGVLSRKIGNIDLTIIEATGIDDEGIVPSLSVD
ATPSFIENSKKVIIELNESKPNLKGFHDIFLPKAGKEIMIKNPLDRIGRI
VYNIPFSKIAAIVVTNEEESEKIHYSGITNADLKIVDNIIDFLLKEIKED
ENLRSEYFTLQPAAGPVAGALSRKIHELETNIWIWGEVAATSWIETLSRN
VKGISASSIYTLPGEQNFRKKLYEEIENLRKYIVIRPYEIANNPQVIARF
YHVVVQQAVEVDIYGNANVSHIGPNLMVGVGGSGDHTRPSYITILALQST
TSNEKISRIVPLLRHVDIPEHDVDILVTEQGWVDLRFLSPIERAERIIEK
CAHPKFKDDLFEYLGKIKKIKGHEPYEINHALKYWFS</t>
  </si>
  <si>
    <t>ATGAAAGTGGAAGATTTATCTTCTAAGATAGCTTCTCCCGAGGAAGCAAT
TAAGAAATATTTTCCTAAAAAAGGGATAATTGCCTTTGGTGGCATGGCTG
GCACTTCCTACCCTAAAGCTATTCCAAAAAAGCTATCTGAATTAATACAA
AAAGGTGAGTTTGATGCAAGCGATTATGTTATTTTGAGCGGAGGAACTGA
GACTATGGAATTTGAAAGTTGGATTAGTAACTTAAAAATATCAAGAAAGT
TTCCTCTTGGTGCTTCCTCCACAATATTAAGAGACCCAGTAAATGAAAGG
AAAATACCTGCAATGGATTATTGGTTATATGAATTTTCAAGCTTGATTAG
CAGAGGAGTATTATCTAGGAAGATTGGAAACATAGACTTAACTATAATTG
AGGCGACGGGAATTGATGATGAAGGAATAGTGCCTAGTTTATCTGTCGAT
GCCACCCCTTCGTTCATTGAGAATTCAAAGAAAGTAATTATAGAGCTGAA
TGAATCAAAGCCAAATTTAAAAGGTTTTCATGATATATTCTTGCCTAAAG
CAGGAAAAGAAATAATGATTAAAAATCCTTTGGACAGAATTGGTAGAATA
GTTTACAATATTCCTTTTTCTAAAATTGCTGCCATTGTTGTTACAAATGA
AGAGGAAAGTGAAAAAATTCATTATAGTGGTATCACAAATGCAGATTTAA
AAATTGTAGATAACATAATAGATTTTCTACTAAAAGAAATAAAAGAAGAT
GAAAATTTAAGAAGCGAATATTTTACACTTCAGCCTGCTGCAGGACCTGT
TGCTGGTGCTCTCTCTAGAAAAATTCACGAGTTGGAAACAAACATTTGGA
TTTGGGGTGAGGTGGCAGCTACATCTTGGATAGAAACGTTAAGCAGAAAC
GTAAAAGGAATATCCGCATCTTCAATATATACTTTGCCGGGTGAACAAAA
TTTTAGAAAAAAACTTTATGAAGAAATTGAAAATCTAAGAAAATATATTG
TCATTAGACCATACGAAATTGCTAATAATCCACAAGTAATTGCAAGATTT
TACCATGTAGTAGTTCAGCAGGCTGTAGAGGTTGATATTTATGGTAATGC
AAATGTATCTCATATTGGTCCGAATTTAATGGTCGGTGTAGGTGGTTCAG
GAGATCATACAAGACCTTCTTATATAACTATTCTTGCGCTACAGTCTACA
ACAAGCAATGAAAAAATATCAAGAATCGTACCTTTATTACGACATGTTGA
TATACCTGAGCATGATGTAGATATTTTAGTAACCGAACAGGGTTGGGTAG
ATTTAAGATTTTTATCTCCTATAGAGAGAGCAGAAAGAATAATCGAGAAA
TGTGCTCATCCAAAATTTAAAGATGACTTATTTGAATATTTGGGAAAAAT
CAAAAAAATTAAAGGTCATGAACCTTATGAAATAAATCATGCTTTAAAAT
ATTGGTTTAGTTGA</t>
  </si>
  <si>
    <t xml:space="preserve">LLKNIKRNKVSKMPEITLAEALNQTLKEQMRKDDRIVVLGEDIGKRGGVF
LITEGLIDEFGPERVINTPLSEAAIFGVACGMAIYGLKPIAEVQFFDFAF
GGFDQIVSQIAKIRYRSGGQFKAPLIIRGPVAGGIRGGMYHSQSPESYYI
HTAGLKVIVPAFPYDAKGLLISAIKADDPIIFMEPKTLYRTIKQEVPEGE
YTVPIGEAKVLREGDDVLFISYGAMVHRALQAAEQLYKENISAEVIDLRT
LLPLDIQTILKSVRKIGRVIIIHEAPKTLGFGAEIAALIAEKAIDYLKGP
ILRVTGQDTPFPLVHDQYYLPTLKRIINAAKYLINY
</t>
  </si>
  <si>
    <t>TTGTTAAAGAATATAAAGAGGAACAAGGTGAGTAAAATGCCAGAGATAAC
TTTAGCTGAAGCTTTGAATCAAACTTTGAAGGAACAGATGAGAAAAGATG
ACAGAATAGTGGTATTAGGTGAGGATATAGGAAAGAGAGGAGGCGTTTTC
CTTATAACTGAGGGCTTAATAGATGAGTTTGGACCTGAACGGGTTATTAA
CACTCCTCTATCTGAGGCTGCAATATTTGGGGTTGCATGTGGAATGGCAA
TATATGGACTTAAGCCAATAGCTGAAGTTCAGTTCTTTGACTTTGCATTT
GGAGGCTTTGATCAAATAGTTTCTCAGATAGCCAAAATAAGGTACAGATC
AGGAGGTCAATTTAAGGCGCCTTTAATAATTAGAGGGCCTGTAGCAGGTG
GAATAAGGGGAGGAATGTATCATTCACAAAGTCCTGAAAGCTATTACATT
CATACTGCAGGATTGAAAGTAATAGTTCCCGCATTTCCCTATGATGCAAA
GGGTCTTTTAATTTCAGCAATTAAAGCTGATGATCCTATAATATTCATGG
AACCAAAAACCCTTTACAGAACCATTAAACAAGAAGTGCCTGAAGGTGAA
TATACAGTTCCAATTGGTGAAGCAAAAGTTTTAAGGGAAGGAGATGATGT
CTTATTCATAAGCTATGGAGCTATGGTTCATAGAGCTTTGCAGGCTGCAG
AACAACTTTATAAAGAAAACATCAGTGCTGAGGTAATTGATTTAAGAACT
TTATTACCGTTGGACATTCAAACTATTTTGAAATCAGTAAGAAAAATAGG
AAGAGTTATTATTATTCATGAAGCGCCAAAAACATTGGGCTTCGGAGCTG
AGATTGCTGCTTTGATTGCTGAGAAAGCGATTGATTATTTAAAAGGTCCA
ATATTAAGAGTGACAGGTCAAGACACTCCATTTCCACTTGTTCATGACCA
GTATTACTTACCTACATTAAAGAGAATAATTAATGCAGCTAAGTATCTAA
TAAACTACTAA</t>
  </si>
  <si>
    <t>Acyl-CoA synthetases (AMP-forming)/AMP-acid ligases II</t>
  </si>
  <si>
    <t>cren1_8best_scaffolds_00003090</t>
  </si>
  <si>
    <t xml:space="preserve">MSYYEYQLNLKNLFVNVPRNFPNREIVYKNKERYTYKRFFERVAGLAAGL
DQIGVKQGDVVAVIDWDTNRYLEAYFAVPMMGAILHTVNIRYPPEIIYYT
MRHANDKYVIVRDEFLPLIEKNASLFDFVKGWIVYNEDRKTVSTSLKPYY
DYEDIVQGKTFEFPDLNERTTATIFYTSGTTGMPKGVTFTHRDLVLHTLV
NSLVTRYPPLEVTEKDNFLILVPMFHVHQWGMPYSAILGGNKYILPARYE
VGMILELIKRERVTFSAMVPSILYMILNAPNIDEYKDYLKGWKVTIGGAA
LPKGLALKAKSLGITTISGYGLSETAPVLTIAYFNDFVRDLKEEEKIEYM
ISTGIPLPMVQLRVVDPNNNDVPWDGSTVGEIIVRAPWNTKGYYLDEEKT
KQLWKDGWLHTGDLAVIDQYGYIRIVDREKDAIKSGGEFIPSLILENVIS
EHPLVGEVAVVGMPHEKWGERPVAFIVRKGNVDENSIIEHLNKYVEKGTI
QKWWIPDKIIFVDSLPKTSTGKIDKKELRKNF
</t>
  </si>
  <si>
    <t>ATGAGCTATTACGAATACCAGTTAAATTTAAAGAATCTTTTCGTAAATGT
TCCCAGAAATTTCCCAAACAGGGAAATAGTTTACAAAAATAAGGAAAGAT
ATACATACAAAAGATTCTTTGAAAGGGTTGCTGGATTGGCAGCTGGTTTG
GATCAAATAGGTGTTAAGCAAGGAGATGTTGTTGCGGTAATAGATTGGGA
TACTAACAGATACTTAGAGGCCTACTTTGCCGTTCCAATGATGGGAGCAA
TATTACATACCGTTAACATTCGTTATCCTCCTGAAATAATTTATTATACA
ATGAGGCATGCTAATGACAAATATGTAATCGTTAGGGATGAATTTCTACC
TTTAATAGAGAAAAATGCATCCTTATTCGATTTTGTTAAAGGATGGATCG
TTTATAACGAAGATAGGAAAACCGTTAGCACTTCGCTAAAGCCTTATTAT
GATTATGAAGATATTGTTCAAGGTAAAACTTTTGAATTCCCAGACCTAAA
TGAAAGAACAACCGCAACAATATTTTATACTTCAGGAACGACAGGGATGC
CAAAGGGTGTCACATTCACGCATAGAGATTTAGTATTGCATACTTTAGTT
AATTCTTTAGTTACAAGATATCCTCCATTGGAAGTAACAGAAAAGGATAA
TTTCTTAATTCTTGTTCCAATGTTCCATGTTCATCAGTGGGGAATGCCCT
ATTCAGCTATACTTGGCGGTAATAAATACATTCTTCCTGCAAGATATGAA
GTGGGCATGATTCTCGAGCTAATTAAGAGAGAAAGAGTAACTTTCTCTGC
TATGGTTCCTTCGATACTATACATGATTTTGAACGCACCAAACATAGATG
AATACAAAGATTATTTGAAGGGATGGAAGGTAACAATAGGCGGTGCTGCG
CTTCCTAAAGGATTAGCTTTGAAAGCAAAATCGTTAGGAATAACAACCAT
ATCAGGATATGGATTGTCAGAAACAGCCCCAGTATTAACAATAGCCTACT
TCAATGATTTTGTAAGGGATCTTAAAGAAGAGGAAAAAATAGAATATATG
ATTTCTACAGGCATTCCTTTACCAATGGTTCAATTAAGGGTTGTAGACCC
TAACAATAACGATGTTCCTTGGGATGGAAGTACTGTGGGAGAAATAATAG
TAAGGGCTCCATGGAATACAAAAGGTTATTATCTGGATGAAGAAAAGACA
AAGCAGCTTTGGAAAGATGGCTGGCTACATACAGGAGACCTTGCAGTAAT
AGATCAATATGGGTACATAAGAATAGTAGATAGAGAAAAGGATGCTATAA
AGAGCGGAGGAGAATTTATACCCTCATTGATACTTGAAAACGTAATAAGT
GAGCATCCACTTGTAGGAGAAGTTGCTGTCGTTGGAATGCCGCATGAAAA
ATGGGGAGAAAGACCTGTTGCTTTCATAGTTAGAAAAGGAAATGTTGATG
AAAATAGCATAATTGAACATTTGAATAAATATGTAGAAAAGGGAACCATT
CAAAAGTGGTGGATTCCTGATAAAATAATCTTCGTGGATTCCTTACCAAA
AACAAGTACAGGTAAAATAGATAAAAAAGAACTTAGAAAAAACTTTTAG</t>
  </si>
  <si>
    <t>Acyl-CoA dehydrogenases</t>
  </si>
  <si>
    <t>cren1_8best_scaffolds_00013180</t>
  </si>
  <si>
    <t>MFPFNSLEDFKIEIKEEVESFRKTIREFVERSVAKRIQEIESKGEIPEEI
YQEAIELGLTGVGIPQEYGGQGGDILTLAVMYEEISRVSPALASALMVNH
LFIYPVMKYGNEEQRKKYISNIASGKSFAAHANTEPVAGSDVAGIQTTAK
KEGKYYILNGRKIFITGAGKADYFVVSARTSFPKENQKRHDGISLFIVEK
GYEGFKVSRRIDTIGLRGEQPYEIILDNVKVPEDNIVGEEGKAFKMIVST
YDHGRIGVAAQAVGILQGLIERALNYALQRKAFEKPLISFEGISFKIADS
LIKLSAARLLTYWAAEMMDKKREGAIIAASIAKTFATEAAEKVAIDTIKI
YGGYGVDKETGVERYLRDTLITEIYEGANDIQRLTIVKSLVRKLTGKSLD
IE</t>
  </si>
  <si>
    <t xml:space="preserve">ATGTTTCCTTTCAATTCTTTGGAGGATTTTAAGATAGAAATAAAAGAAGA
AGTTGAAAGCTTTAGAAAAACAATAAGAGAATTTGTTGAAAGAAGTGTAG
CTAAAAGAATACAAGAAATTGAAAGTAAAGGAGAAATTCCTGAAGAAATA
TACCAAGAAGCAATTGAGCTTGGCTTAACTGGAGTTGGAATACCCCAAGA
ATACGGTGGACAAGGAGGAGATATTTTAACATTAGCTGTAATGTATGAGG
AAATATCAAGAGTCTCACCAGCATTAGCATCTGCGCTCATGGTAAATCAT
CTATTCATCTATCCTGTTATGAAATATGGAAACGAGGAACAAAGAAAAAA
ATATATATCTAATATTGCTTCTGGAAAATCATTTGCGGCTCATGCAAATA
CTGAACCTGTTGCCGGAAGCGATGTTGCTGGAATACAAACTACAGCAAAA
AAAGAAGGAAAGTATTACATATTGAATGGAAGAAAAATTTTTATAACAGG
TGCTGGGAAAGCTGATTATTTTGTAGTCTCAGCGAGAACTTCATTTCCTA
AAGAAAATCAAAAAAGGCATGATGGAATTTCACTCTTTATTGTAGAAAAA
GGATACGAAGGATTTAAAGTTTCAAGAAGGATAGATACTATAGGATTAAG
AGGAGAGCAACCTTACGAGATAATTTTAGATAACGTAAAAGTACCTGAAG
ATAATATTGTTGGAGAAGAAGGGAAGGCATTTAAAATGATTGTTTCAACT
TATGATCACGGAAGAATAGGCGTAGCTGCGCAGGCGGTAGGAATACTGCA
AGGTTTGATTGAGAGAGCTTTAAATTATGCATTGCAAAGAAAAGCATTTG
AAAAGCCTTTAATTTCATTTGAAGGTATCTCTTTTAAAATAGCTGATTCG
CTTATTAAATTAAGTGCAGCAAGGCTTCTTACATACTGGGCTGCAGAAAT
GATGGATAAAAAAAGGGAAGGAGCAATAATTGCAGCATCGATTGCAAAAA
CTTTTGCAACAGAAGCTGCTGAAAAAGTAGCTATTGATACAATTAAGATC
TATGGAGGATACGGAGTAGATAAAGAAACAGGGGTTGAAAGGTATCTTAG
AGATACTTTGATAACAGAAATATACGAAGGGGCTAACGATATACAAAGAC
TCACAATTGTTAAATCTTTGGTAAGAAAGTTAACAGGGAAATCGTTGGAT
ATTGAATAG
</t>
  </si>
  <si>
    <t>Enoyl-CoA hydratase/carnithine racemase</t>
  </si>
  <si>
    <t>cren1_8best_scaffolds_00011260</t>
  </si>
  <si>
    <t xml:space="preserve">MSYQYQNIILEIKESIGIIYLNRPKVLNALNKQTVDEIIDAMKKLNEDDK
IKAIILTGNGDNFSAGADIKEMIQLSPLEAETRSPLANWDIAISSVKKPV
IAAIKGYTLGGGLELALSCDLIIASEETKIGQPEINIGLMPGGGGTQRLA
RLIGKHKAMELILTGKMIDAKEAERIGIINKVVPKEKLIEEAMNIAKEIS
AKAPLAVKYAKESILYAFESNLNEGLKYERKLFYLLLGSEDGKEGMKAFI
EKRAPQYKGR
</t>
  </si>
  <si>
    <t>ATGAGTTATCAGTATCAAAACATAATTTTGGAAATCAAAGAAAGCATAGG
CATAATTTATTTAAACAGGCCAAAAGTTTTGAATGCTCTGAATAAGCAAA
CTGTTGATGAAATAATTGATGCTATGAAAAAATTGAACGAGGATGATAAA
ATAAAAGCCATAATACTTACTGGCAACGGAGATAATTTTTCTGCAGGAGC
AGATATTAAAGAAATGATTCAGCTTTCACCTTTAGAAGCTGAAACAAGAA
GTCCTTTAGCTAATTGGGATATAGCAATATCATCGGTAAAAAAGCCTGTT
ATAGCTGCAATAAAGGGATATACCTTAGGAGGTGGGCTTGAGCTAGCCTT
GAGCTGTGATTTGATAATAGCAAGTGAGGAAACCAAAATAGGTCAGCCTG
AAATAAACATTGGATTGATGCCAGGAGGCGGTGGAACTCAAAGATTAGCA
AGGCTCATAGGTAAACACAAAGCAATGGAACTTATTTTAACGGGGAAAAT
GATCGACGCTAAAGAAGCAGAGAGAATTGGAATAATAAACAAAGTCGTGC
CAAAAGAAAAGTTGATTGAAGAAGCGATGAATATTGCGAAGGAAATTTCA
GCAAAAGCTCCCCTAGCAGTAAAGTATGCAAAGGAGTCAATATTATATGC
GTTTGAAAGCAATCTAAACGAAGGATTAAAATACGAAAGGAAACTATTTT
ATTTACTTCTTGGATCGGAGGATGGAAAGGAGGGAATGAAAGCATTCATT
GAAAAAAGAGCACCACAATATAAGGGAAGATGA</t>
  </si>
  <si>
    <t>3-hydroxyacyl-CoA dehydrogenase</t>
  </si>
  <si>
    <t>cren1_8best_scaffolds_00013170</t>
  </si>
  <si>
    <t>MMNKIAVIGSGTMGHGIAEVCAIHGYEVKIHDVEDGILKNAMEKIKWSLE
KLQEKGQIKESSEKILSRIKPSTDFKFVVEDCDLMIEAVFEKIEVKHEIF
SRADKYAPRHAILASNTSSLPITEISEVTNRKEKVIGLHFFNPPVLMKLV
EVIRGKYTSDETLAKSLDFCKKINKESVILNKDVPGFIVNRILSRILNTA
CILASKGYAKYEEIDSALKFKLGFPMGIFEVADYSGLDIFYNVFQAITSR
GFKSKICSTIEEKVNKKNYGLKSGEGFYKYPKPGEYKRIQLDPKMGEKVD
PLLVISLGINEAAYLLRNGISSKEDIDKAVRLGLGYPKGLFEYADEFGID
EVIERIRNALEITKEEAELDQLLIDMYNKKMLGKKTKQGFYTY</t>
  </si>
  <si>
    <t>ATGATGAATAAAATAGCGGTAATAGGTTCTGGAACAATGGGTCATGGAAT
AGCAGAAGTATGTGCAATTCATGGCTATGAAGTAAAAATCCATGATGTTG
AGGATGGAATACTTAAAAATGCGATGGAAAAAATAAAATGGAGTTTAGAG
AAATTACAGGAAAAAGGTCAAATTAAGGAAAGTAGCGAAAAAATATTGTC
AAGAATAAAGCCATCAACAGATTTTAAGTTTGTCGTAGAAGATTGCGATC
TAATGATCGAAGCTGTATTTGAAAAAATAGAAGTAAAACATGAAATCTTT
TCTAGAGCTGACAAATATGCTCCCAGACATGCTATTCTTGCTTCAAATAC
TAGCAGTTTACCCATTACCGAGATTTCAGAAGTTACTAACAGGAAAGAAA
AAGTAATTGGGTTACACTTCTTCAATCCTCCTGTACTTATGAAACTTGTT
GAAGTTATCAGAGGGAAATATACTAGTGATGAAACGTTAGCTAAGTCTTT
GGATTTCTGCAAAAAAATAAACAAAGAATCTGTAATATTGAATAAAGATG
TTCCTGGGTTTATAGTAAACAGAATTTTATCAAGAATTCTTAACACTGCC
TGCATTTTAGCAAGCAAAGGGTATGCTAAATATGAAGAAATAGATTCAGC
GTTAAAGTTTAAACTTGGATTTCCGATGGGGATTTTCGAAGTAGCAGATT
ATAGCGGTCTGGATATTTTTTACAATGTTTTTCAAGCAATAACTTCAAGA
GGATTCAAATCAAAAATCTGTAGTACAATTGAAGAGAAAGTTAACAAAAA
GAACTACGGACTAAAAAGTGGAGAAGGCTTCTATAAATATCCAAAACCTG
GCGAATACAAGAGAATACAGCTCGATCCTAAAATGGGTGAAAAGGTCGAT
CCTTTATTGGTAATTTCTTTAGGAATTAACGAAGCCGCTTATTTACTGAG
GAATGGAATTTCTTCTAAAGAAGACATAGATAAAGCAGTTAGACTTGGAC
TTGGATATCCAAAGGGTCTTTTTGAGTATGCTGATGAATTTGGAATAGAT
GAGGTAATAGAAAGAATAAGAAATGCGTTGGAAATCACAAAAGAAGAGGC
AGAATTGGATCAGCTTCTAATCGATATGTACAATAAGAAAATGTTGGGTA
AAAAGACCAAACAAGGATTTTATACGTATTGA</t>
  </si>
  <si>
    <t>MSNEVYLVDYIRTAFSRSRPKEPEKDVFNSLRMDEALAKLINHVIEKNSI
NPNEIDDVITGCAMQAGENYLYGGRHPVLLANLPISVPGVAVERACSSSM
MAISIGAMEIMSGNSEIVLAGGIEHMTHVPMSDNPCIMPNFKLLLRPEYM
KYQMNIAYSMGLTAEKLAEESGITKDEMDEYALRSHKLAYQSLQEGWFKG
EILPIQVEYKGELIIVDKDQSIRGDANLEQIKKLPPAFKEGGVITAGNSS
PLNAGASLVLLMSEKKVNEYGLKPLAKIKGFSWVGVEPQVMGKGPVPATK
KLLRKFKLEAGDIDYWEINEAFAVVVLFAINELGLDLSKVNIHGGAIAIG
HPLGATGARIVGTLARILKEKGKNLGIATLCVGGGQGFSMLIERT</t>
  </si>
  <si>
    <t>ATGAGCAACGAAGTTTATCTTGTTGATTATATAAGAACAGCTTTCTCGAG
ATCAAGACCAAAAGAACCTGAGAAAGATGTTTTCAATTCACTAAGAATGG
ATGAAGCTTTAGCAAAGCTAATAAACCACGTAATAGAGAAAAACTCGATA
AATCCAAATGAAATAGATGATGTAATAACAGGATGCGCTATGCAGGCAGG
AGAAAATTATCTTTATGGAGGTCGACATCCTGTCCTTTTGGCAAACTTGC
CAATTAGTGTTCCAGGAGTGGCTGTTGAAAGGGCATGTTCTTCATCCATG
ATGGCAATATCAATAGGTGCTATGGAGATAATGAGTGGGAATTCAGAAAT
AGTTTTGGCTGGAGGAATAGAACATATGACGCATGTTCCCATGTCTGATA
ATCCTTGCATAATGCCTAACTTTAAGCTTCTATTGAGACCTGAATACATG
AAATATCAAATGAACATTGCTTATTCAATGGGTTTAACTGCTGAGAAGTT
AGCGGAAGAAAGTGGGATAACTAAAGATGAAATGGACGAATATGCTTTAA
GAAGTCATAAGCTAGCTTATCAATCTCTTCAGGAAGGCTGGTTTAAAGGC
GAAATATTGCCCATACAGGTTGAGTATAAGGGGGAGCTTATTATAGTTGA
TAAGGATCAAAGTATAAGAGGCGATGCAAACCTTGAACAAATTAAGAAGT
TACCTCCCGCGTTTAAAGAAGGAGGAGTAATAACAGCTGGAAATTCATCT
CCTCTTAATGCAGGAGCTTCTTTGGTTTTGCTTATGTCCGAGAAAAAGGT
GAATGAATATGGATTAAAGCCTTTGGCAAAAATAAAGGGTTTTTCTTGGG
TAGGCGTAGAGCCACAGGTAATGGGGAAAGGGCCTGTTCCTGCAACAAAA
AAGTTGTTGAGGAAGTTTAAGCTTGAAGCTGGAGATATAGACTATTGGGA
AATTAACGAAGCGTTTGCTGTAGTTGTTCTATTTGCTATTAATGAACTTG
GATTAGATTTAAGTAAGGTTAATATACACGGAGGCGCAATAGCAATCGGT
CATCCCTTAGGTGCTACAGGAGCTAGAATCGTTGGCACGCTTGCAAGAAT
ATTGAAAGAAAAAGGGAAGAATCTGGGAATAGCAACTCTTTGTGTAGGAG
GTGGTCAAGGCTTTTCAATGCTGATTGAAAGAACATGA</t>
  </si>
  <si>
    <t>methylmalonyl-CoA mutase N-terminal domain</t>
  </si>
  <si>
    <t>cren1_8best_scaffolds_00011240</t>
  </si>
  <si>
    <t>MQTKEEKKLSSEGYWKQKIKEKIEKRNIISKLYNREEIERLHKQETEWYE
NVYLPWIKSSPERKNKFETASGIEIKPIYTPWDVKHIDYLEDIGFPGVYP
FTRGIYPSMYRGKLWTIREFSGFGTPEDTNKRLKFLLEHGETGLSIAFDM
PTLYGYDADSPRALGEVGKMGVSVSSLKDMEILFKDIPMDQITTSMTINA
PAVVIFAMYIAAAEKQGVPMEKLSGTIQNDILKEYIAQKEWAYPPEVHLR
IIKDIMEFCTKHMPKWNYISVSGYHIREAGSNAIQELAFTLMDGFTYMDL
GISAGLDPNVFATRISFFFNSTMDFFEEIAKFRAARRIWSEVLRDKYKVK
NPRALWLRFHTQTSGASLTWQQPLNNLIRTAIEALAAVLGGTQSLHTNAY
DEALSLPKEDAALLAVRTQQIIAYETNVASTIDPLAGSYYIEWLTDKLEE
EAYKYFDKIEELGGMVEAIKKGFPQKEIIENAYKQALKVENKENIIVGVN
EFIDKSERIHDIFKTYPEVEKIQRERLAQLKRERNNEKVKQALEEVRKAF
EDPSINIVYPILKAVKAYATLQEIMDIGREIYGGWKEPELL</t>
  </si>
  <si>
    <t xml:space="preserve">ATGCAAACAAAAGAAGAGAAAAAGTTAAGTTCAGAAGGTTACTGGAAACA
AAAAATTAAAGAAAAGATAGAGAAGAGAAATATAATATCTAAATTATATA
ATAGGGAAGAAATTGAAAGGTTGCATAAACAAGAAACTGAATGGTATGAG
AATGTATATTTACCTTGGATTAAAAGCTCTCCTGAAAGAAAAAATAAGTT
TGAAACGGCTTCAGGTATAGAGATTAAGCCTATTTATACTCCTTGGGATG
TTAAACACATAGACTACTTAGAAGATATTGGTTTCCCAGGCGTTTATCCT
TTTACAAGAGGAATATATCCTTCAATGTATAGAGGAAAACTTTGGACAAT
AAGGGAGTTTAGCGGTTTTGGAACACCTGAAGATACTAACAAAAGGCTTA
AATTTTTGCTTGAACATGGGGAAACAGGTCTTAGTATAGCCTTTGACATG
CCTACTTTATACGGCTACGATGCAGATTCTCCAAGGGCATTAGGAGAAGT
AGGTAAAATGGGGGTATCTGTTAGCTCATTGAAAGATATGGAAATCCTTT
TCAAAGATATTCCAATGGATCAAATAACAACTTCCATGACGATCAACGCT
CCAGCAGTTGTAATCTTTGCAATGTATATTGCAGCTGCTGAAAAACAAGG
TGTACCGATGGAAAAACTAAGCGGAACAATACAAAACGATATTCTGAAGG
AATATATAGCACAAAAAGAATGGGCATATCCGCCTGAAGTTCATCTGAGA
ATAATAAAAGACATAATGGAATTCTGTACCAAGCATATGCCAAAATGGAA
TTATATAAGTGTTAGTGGTTATCACATAAGGGAAGCAGGCTCAAACGCAA
TTCAAGAGTTAGCCTTTACTCTAATGGACGGATTTACTTATATGGATTTA
GGGATATCCGCAGGGTTGGATCCAAACGTGTTTGCTACTAGAATATCTTT
CTTCTTTAATTCGACAATGGACTTTTTTGAAGAAATTGCAAAATTTAGAG
CTGCAAGGAGGATATGGAGTGAAGTGTTAAGGGATAAATATAAGGTAAAA
AATCCAAGGGCTTTATGGCTTCGTTTCCATACTCAGACCTCAGGAGCTTC
TTTGACCTGGCAACAACCACTAAACAATTTAATTAGAACTGCAATTGAAG
CACTAGCTGCTGTTCTTGGAGGAACACAAAGCTTGCATACAAACGCTTAT
GATGAAGCTTTAAGTCTTCCTAAAGAAGACGCTGCTCTTCTAGCTGTAAG
GACTCAGCAAATAATAGCCTATGAAACAAACGTTGCTTCAACAATAGATC
CTCTTGCAGGTTCATATTATATTGAATGGTTAACTGATAAACTTGAAGAA
GAAGCATATAAATATTTTGATAAAATTGAAGAACTGGGAGGAATGGTTGA
AGCAATAAAGAAAGGATTTCCTCAAAAGGAGATAATTGAAAATGCTTATA
AACAAGCTCTTAAAGTTGAGAATAAAGAGAATATAATAGTGGGGGTAAAT
GAATTCATTGATAAGAGCGAAAGAATTCATGATATTTTTAAAACCTATCC
TGAAGTAGAAAAGATACAAAGAGAAAGATTAGCTCAACTTAAAAGAGAAA
GGAATAATGAAAAAGTAAAGCAAGCATTGGAAGAGGTTAGAAAGGCATTT
GAAGATCCTTCAATAAACATTGTTTATCCAATTTTAAAAGCTGTAAAAGC
TTATGCTACTCTTCAAGAGATAATGGATATTGGAAGAGAAATCTATGGAG
GTTGGAAGGAACCTGAATTATTATAG
</t>
  </si>
  <si>
    <t>|</t>
  </si>
  <si>
    <t>#</t>
  </si>
  <si>
    <t>Lactate</t>
  </si>
  <si>
    <t>ATP + N-Acetyl-L-glutamate = ADP + N-Acetyl-L-glutamate5-phosphate</t>
  </si>
  <si>
    <t>N-Acetylornithine + 2-Oxoglutarate = N-Acetyl-L-glutamate5-semialdehyde + L-Glutamate</t>
  </si>
  <si>
    <t>L-Glutamine + 2-Oxoglutarate + NADPH + Proton = NADP + 2 L-Glutamate</t>
  </si>
  <si>
    <t>L-Glutamate + Acetyl-CoA = N-Acetyl-L-glutamate + CoA + Proton</t>
  </si>
  <si>
    <t>N-Acetyl-L-glutamate5-semialdehyde + Phosphate + NADP = N-Acetyl-L-glutamate5-phosphate + NADPH + Proton</t>
  </si>
  <si>
    <t>N-Acetyl-L-glutamate</t>
  </si>
  <si>
    <t>N-Acetyl-L-glutamate5-phosphate</t>
  </si>
  <si>
    <t>N-Acetyl-L-glutamate5-semialdehyde</t>
  </si>
  <si>
    <t>N-Acetylornithine</t>
  </si>
  <si>
    <t>L-Histidinal</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</si>
  <si>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10</t>
    </r>
    <r>
      <rPr>
        <sz val="11"/>
        <color theme="1"/>
        <rFont val="Calibri"/>
        <family val="2"/>
        <scheme val="minor"/>
      </rPr>
      <t>N</t>
    </r>
    <r>
      <rPr>
        <vertAlign val="subscript"/>
        <sz val="12"/>
        <color theme="1"/>
        <rFont val="Calibri"/>
        <family val="2"/>
        <scheme val="minor"/>
      </rPr>
      <t>3</t>
    </r>
    <r>
      <rPr>
        <sz val="11"/>
        <color theme="1"/>
        <rFont val="Calibri"/>
        <family val="2"/>
        <scheme val="minor"/>
      </rPr>
      <t>O</t>
    </r>
  </si>
  <si>
    <t>C1(=NC(=CN1)CC(C=O)[N+])</t>
  </si>
  <si>
    <t>L-Histidine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</si>
  <si>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9</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2</t>
    </r>
  </si>
  <si>
    <t>C(C(CC1(=CNC=N1))[N+])([O-])=O</t>
  </si>
  <si>
    <t>L-Histidinol</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</si>
  <si>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3</t>
    </r>
    <r>
      <rPr>
        <sz val="11"/>
        <color theme="1"/>
        <rFont val="Calibri"/>
        <family val="2"/>
        <scheme val="minor"/>
      </rPr>
      <t>O</t>
    </r>
  </si>
  <si>
    <t>C1(=NC(=CN1)CC(CO)[N+])</t>
  </si>
  <si>
    <t>L-histidinol-phosphate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</si>
  <si>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4</t>
    </r>
    <r>
      <rPr>
        <sz val="11"/>
        <color theme="1"/>
        <rFont val="Calibri"/>
        <family val="2"/>
        <scheme val="minor"/>
      </rPr>
      <t>P</t>
    </r>
  </si>
  <si>
    <t>C1(NC=C(CC([N+])COP(=O)([O-])[O-])N=1)</t>
  </si>
  <si>
    <t>L-Homoserine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</si>
  <si>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9</t>
    </r>
    <r>
      <rPr>
        <sz val="11"/>
        <color theme="1"/>
        <rFont val="Calibri"/>
        <family val="2"/>
        <scheme val="minor"/>
      </rPr>
      <t>NO</t>
    </r>
    <r>
      <rPr>
        <vertAlign val="subscript"/>
        <sz val="12"/>
        <color theme="1"/>
        <rFont val="Calibri"/>
        <family val="2"/>
        <scheme val="minor"/>
      </rPr>
      <t>3</t>
    </r>
  </si>
  <si>
    <t>C(=O)([O-])C([N+])CCO</t>
  </si>
  <si>
    <t>L-Isoleucine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</si>
  <si>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13</t>
    </r>
    <r>
      <rPr>
        <sz val="11"/>
        <color theme="1"/>
        <rFont val="Calibri"/>
        <family val="2"/>
        <scheme val="minor"/>
      </rPr>
      <t>NO</t>
    </r>
    <r>
      <rPr>
        <vertAlign val="subscript"/>
        <sz val="12"/>
        <color theme="1"/>
        <rFont val="Calibri"/>
        <family val="2"/>
        <scheme val="minor"/>
      </rPr>
      <t>2</t>
    </r>
  </si>
  <si>
    <t>C(=O)([O-])C([N+])C(C)CC</t>
  </si>
  <si>
    <t>L-Leucine</t>
  </si>
  <si>
    <t>C(=O)([O-])C([N+])CC(C)C</t>
  </si>
  <si>
    <t>L-Lysine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</si>
  <si>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15</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2</t>
    </r>
  </si>
  <si>
    <t>C(=O)([O-])C([N+])CCCC[N+]</t>
  </si>
  <si>
    <t>L-Malate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</si>
  <si>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5</t>
    </r>
  </si>
  <si>
    <t>C(=O)([O-])CC(O)C([O-])=O</t>
  </si>
  <si>
    <t>L-Methionine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</si>
  <si>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11</t>
    </r>
    <r>
      <rPr>
        <sz val="11"/>
        <color theme="1"/>
        <rFont val="Calibri"/>
        <family val="2"/>
        <scheme val="minor"/>
      </rPr>
      <t>NO</t>
    </r>
    <r>
      <rPr>
        <vertAlign val="subscript"/>
        <sz val="12"/>
        <color theme="1"/>
        <rFont val="Calibri"/>
        <family val="2"/>
        <scheme val="minor"/>
      </rPr>
      <t>2</t>
    </r>
    <r>
      <rPr>
        <sz val="11"/>
        <color theme="1"/>
        <rFont val="Calibri"/>
        <family val="2"/>
        <scheme val="minor"/>
      </rPr>
      <t>S</t>
    </r>
  </si>
  <si>
    <t>C(=O)([O-])C([N+])CCSC</t>
  </si>
  <si>
    <t>L-Phenylalanine</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</si>
  <si>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NO</t>
    </r>
    <r>
      <rPr>
        <vertAlign val="subscript"/>
        <sz val="12"/>
        <color theme="1"/>
        <rFont val="Calibri"/>
        <family val="2"/>
        <scheme val="minor"/>
      </rPr>
      <t>2</t>
    </r>
  </si>
  <si>
    <t>C(=O)([O-])C([N+])CC1(C=CC=CC=1)</t>
  </si>
  <si>
    <t>L-Proline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</si>
  <si>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NO</t>
    </r>
    <r>
      <rPr>
        <vertAlign val="subscript"/>
        <sz val="12"/>
        <color theme="1"/>
        <rFont val="Calibri"/>
        <family val="2"/>
        <scheme val="minor"/>
      </rPr>
      <t>2</t>
    </r>
  </si>
  <si>
    <t>C(=O)([O-])C1([N+]CCC1)</t>
  </si>
  <si>
    <t>L-Serine</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</si>
  <si>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7</t>
    </r>
    <r>
      <rPr>
        <sz val="11"/>
        <color theme="1"/>
        <rFont val="Calibri"/>
        <family val="2"/>
        <scheme val="minor"/>
      </rPr>
      <t>NO</t>
    </r>
    <r>
      <rPr>
        <vertAlign val="subscript"/>
        <sz val="12"/>
        <color theme="1"/>
        <rFont val="Calibri"/>
        <family val="2"/>
        <scheme val="minor"/>
      </rPr>
      <t>3</t>
    </r>
  </si>
  <si>
    <t>C(=O)([O-])C([N+])CO</t>
  </si>
  <si>
    <t>L-Threonine</t>
  </si>
  <si>
    <t>CC(O)C([N+])C(=O)[O-]</t>
  </si>
  <si>
    <t>L-Tryptophan</t>
  </si>
  <si>
    <r>
      <t>C</t>
    </r>
    <r>
      <rPr>
        <vertAlign val="subscript"/>
        <sz val="12"/>
        <color theme="1"/>
        <rFont val="Calibri"/>
        <family val="2"/>
        <scheme val="minor"/>
      </rPr>
      <t>11</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2</t>
    </r>
  </si>
  <si>
    <t>C2(NC1(C=CC=CC=1C(CC([N+])C([O-])=O)=2))</t>
  </si>
  <si>
    <t>L-Tyrosine</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</si>
  <si>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NO</t>
    </r>
    <r>
      <rPr>
        <vertAlign val="subscript"/>
        <sz val="12"/>
        <color theme="1"/>
        <rFont val="Calibri"/>
        <family val="2"/>
        <scheme val="minor"/>
      </rPr>
      <t>3</t>
    </r>
  </si>
  <si>
    <t>C(C(CC1(C=CC(O)=CC=1))[N+])([O-])=O</t>
  </si>
  <si>
    <t>L-Valine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</si>
  <si>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11</t>
    </r>
    <r>
      <rPr>
        <sz val="11"/>
        <color theme="1"/>
        <rFont val="Calibri"/>
        <family val="2"/>
        <scheme val="minor"/>
      </rPr>
      <t>NO</t>
    </r>
    <r>
      <rPr>
        <vertAlign val="subscript"/>
        <sz val="12"/>
        <color theme="1"/>
        <rFont val="Calibri"/>
        <family val="2"/>
        <scheme val="minor"/>
      </rPr>
      <t>2</t>
    </r>
  </si>
  <si>
    <t>CC(C)C([N+])C([O-])=O</t>
  </si>
  <si>
    <t>Mevalonate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</si>
  <si>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11</t>
    </r>
    <r>
      <rPr>
        <sz val="11"/>
        <color theme="1"/>
        <rFont val="Calibri"/>
        <family val="2"/>
        <scheme val="minor"/>
      </rPr>
      <t>O</t>
    </r>
    <r>
      <rPr>
        <vertAlign val="subscript"/>
        <sz val="12"/>
        <color theme="1"/>
        <rFont val="Calibri"/>
        <family val="2"/>
        <scheme val="minor"/>
      </rPr>
      <t>4</t>
    </r>
  </si>
  <si>
    <t>CC(O)(CCO)CC(=O)[O-]</t>
  </si>
  <si>
    <t>N-5-phosphoribosyl-anthranilate</t>
  </si>
  <si>
    <r>
      <t>C</t>
    </r>
    <r>
      <rPr>
        <vertAlign val="subscript"/>
        <sz val="12"/>
        <color theme="1"/>
        <rFont val="Calibri"/>
        <family val="2"/>
        <scheme val="minor"/>
      </rPr>
      <t>12</t>
    </r>
    <r>
      <rPr>
        <sz val="11"/>
        <color theme="1"/>
        <rFont val="Calibri"/>
        <family val="2"/>
        <scheme val="minor"/>
      </rPr>
      <t>H</t>
    </r>
    <r>
      <rPr>
        <vertAlign val="subscript"/>
        <sz val="12"/>
        <color theme="1"/>
        <rFont val="Calibri"/>
        <family val="2"/>
        <scheme val="minor"/>
      </rPr>
      <t>13</t>
    </r>
    <r>
      <rPr>
        <sz val="11"/>
        <color theme="1"/>
        <rFont val="Calibri"/>
        <family val="2"/>
        <scheme val="minor"/>
      </rPr>
      <t>NO</t>
    </r>
    <r>
      <rPr>
        <vertAlign val="subscript"/>
        <sz val="12"/>
        <color theme="1"/>
        <rFont val="Calibri"/>
        <family val="2"/>
        <scheme val="minor"/>
      </rPr>
      <t>9</t>
    </r>
    <r>
      <rPr>
        <sz val="11"/>
        <color theme="1"/>
        <rFont val="Calibri"/>
        <family val="2"/>
        <scheme val="minor"/>
      </rPr>
      <t>P</t>
    </r>
  </si>
  <si>
    <t>C2(C(NC1(C(C(C(O1)COP(=O)([O-])[O-])O)O))=C(C(=O)[O-])C=CC=2)</t>
  </si>
  <si>
    <t>NAD</t>
  </si>
  <si>
    <r>
      <t>C</t>
    </r>
    <r>
      <rPr>
        <vertAlign val="subscript"/>
        <sz val="12"/>
        <color theme="1"/>
        <rFont val="Calibri"/>
        <family val="2"/>
        <scheme val="minor"/>
      </rPr>
      <t>21</t>
    </r>
    <r>
      <rPr>
        <sz val="11"/>
        <color theme="1"/>
        <rFont val="Calibri"/>
        <family val="2"/>
        <scheme val="minor"/>
      </rPr>
      <t>H</t>
    </r>
    <r>
      <rPr>
        <vertAlign val="subscript"/>
        <sz val="12"/>
        <color theme="1"/>
        <rFont val="Calibri"/>
        <family val="2"/>
        <scheme val="minor"/>
      </rPr>
      <t>26</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2</t>
    </r>
  </si>
  <si>
    <t>C1(N=C(N)C2(N=CN(C(N=1)=2)C5(OC(COP(=O)([O-])OP(=O)([O-])OCC3(OC(C(O)C(O)3)[N+]4(C=CC=C(C=4)C(N)=O)))C(O)C(O)5)))</t>
  </si>
  <si>
    <t>NADH</t>
  </si>
  <si>
    <r>
      <t>C</t>
    </r>
    <r>
      <rPr>
        <vertAlign val="subscript"/>
        <sz val="12"/>
        <color theme="1"/>
        <rFont val="Calibri"/>
        <family val="2"/>
        <scheme val="minor"/>
      </rPr>
      <t>21</t>
    </r>
    <r>
      <rPr>
        <sz val="11"/>
        <color theme="1"/>
        <rFont val="Calibri"/>
        <family val="2"/>
        <scheme val="minor"/>
      </rPr>
      <t>H</t>
    </r>
    <r>
      <rPr>
        <vertAlign val="subscript"/>
        <sz val="12"/>
        <color theme="1"/>
        <rFont val="Calibri"/>
        <family val="2"/>
        <scheme val="minor"/>
      </rPr>
      <t>27</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2</t>
    </r>
  </si>
  <si>
    <t>C1(N=C(N)C2(N=CN(C(N=1)=2)C5(OC(COP(=O)([O-])OP(=O)([O-])OCC3(OC(C(O)C(O)3)N4(C=CCC(=C4)C(N)=O)))C(O)C(O)5)))</t>
  </si>
  <si>
    <t>NADP</t>
  </si>
  <si>
    <r>
      <t>C</t>
    </r>
    <r>
      <rPr>
        <vertAlign val="subscript"/>
        <sz val="12"/>
        <color theme="1"/>
        <rFont val="Calibri"/>
        <family val="2"/>
        <scheme val="minor"/>
      </rPr>
      <t>21</t>
    </r>
    <r>
      <rPr>
        <sz val="11"/>
        <color theme="1"/>
        <rFont val="Calibri"/>
        <family val="2"/>
        <scheme val="minor"/>
      </rPr>
      <t>H</t>
    </r>
    <r>
      <rPr>
        <vertAlign val="subscript"/>
        <sz val="12"/>
        <color theme="1"/>
        <rFont val="Calibri"/>
        <family val="2"/>
        <scheme val="minor"/>
      </rPr>
      <t>25</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17</t>
    </r>
    <r>
      <rPr>
        <sz val="11"/>
        <color theme="1"/>
        <rFont val="Calibri"/>
        <family val="2"/>
        <scheme val="minor"/>
      </rPr>
      <t>P</t>
    </r>
    <r>
      <rPr>
        <vertAlign val="subscript"/>
        <sz val="12"/>
        <color theme="1"/>
        <rFont val="Calibri"/>
        <family val="2"/>
        <scheme val="minor"/>
      </rPr>
      <t>3</t>
    </r>
  </si>
  <si>
    <t>C5(N(C1(C(C(C(O1)COP(OP(=O)([O-])OCC2(C(C(C(O2)[N+]3(=CC(=CC=C3)C(=O)N))O)O))([O-])=O)O)OP([O-])([O-])=O))C4(=C(C(=NC=N4)N)N=5))</t>
  </si>
  <si>
    <t>NADPH</t>
  </si>
  <si>
    <r>
      <t>C</t>
    </r>
    <r>
      <rPr>
        <vertAlign val="subscript"/>
        <sz val="12"/>
        <color theme="1"/>
        <rFont val="Calibri"/>
        <family val="2"/>
        <scheme val="minor"/>
      </rPr>
      <t>21</t>
    </r>
    <r>
      <rPr>
        <sz val="11"/>
        <color theme="1"/>
        <rFont val="Calibri"/>
        <family val="2"/>
        <scheme val="minor"/>
      </rPr>
      <t>H</t>
    </r>
    <r>
      <rPr>
        <vertAlign val="subscript"/>
        <sz val="12"/>
        <color theme="1"/>
        <rFont val="Calibri"/>
        <family val="2"/>
        <scheme val="minor"/>
      </rPr>
      <t>26</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17</t>
    </r>
    <r>
      <rPr>
        <sz val="11"/>
        <color theme="1"/>
        <rFont val="Calibri"/>
        <family val="2"/>
        <scheme val="minor"/>
      </rPr>
      <t>P</t>
    </r>
    <r>
      <rPr>
        <vertAlign val="subscript"/>
        <sz val="12"/>
        <color theme="1"/>
        <rFont val="Calibri"/>
        <family val="2"/>
        <scheme val="minor"/>
      </rPr>
      <t>3</t>
    </r>
  </si>
  <si>
    <t>C5(N(C1(C(C(C(O1)COP(OP(=O)([O-])OCC2(C(C(C(O2)N3(C=C(CC=C3)C(=O)N))O)O))([O-])=O)O)OP([O-])([O-])=O))C4(=C(C(=NC=N4)N)N=5))</t>
  </si>
  <si>
    <t>N-Carbamoyl-L-aspartate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</si>
  <si>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6</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5</t>
    </r>
  </si>
  <si>
    <t>C(CC(C(=O)[O-])NC(=O)N)(=O)[O-]</t>
  </si>
  <si>
    <t>N-Formyl-GAR</t>
  </si>
  <si>
    <r>
      <t>C</t>
    </r>
    <r>
      <rPr>
        <vertAlign val="subscript"/>
        <sz val="12"/>
        <color theme="1"/>
        <rFont val="Calibri"/>
        <family val="2"/>
        <scheme val="minor"/>
      </rPr>
      <t>8</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</si>
  <si>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C(=O)NCC(NC1(C(C(C(COP([O-])(=O)[O-])O1)O)O))=O</t>
  </si>
  <si>
    <t>NH3</t>
  </si>
  <si>
    <r>
      <t>H</t>
    </r>
    <r>
      <rPr>
        <vertAlign val="subscript"/>
        <sz val="12"/>
        <color theme="1"/>
        <rFont val="Calibri"/>
        <family val="2"/>
        <scheme val="minor"/>
      </rPr>
      <t>3</t>
    </r>
    <r>
      <rPr>
        <sz val="11"/>
        <color theme="1"/>
        <rFont val="Calibri"/>
        <family val="2"/>
        <scheme val="minor"/>
      </rPr>
      <t>N</t>
    </r>
  </si>
  <si>
    <t>[NH3]</t>
  </si>
  <si>
    <t>O2</t>
  </si>
  <si>
    <r>
      <t>O</t>
    </r>
    <r>
      <rPr>
        <vertAlign val="subscript"/>
        <sz val="12"/>
        <color theme="1"/>
        <rFont val="Calibri"/>
        <family val="2"/>
        <scheme val="minor"/>
      </rPr>
      <t>2</t>
    </r>
  </si>
  <si>
    <t>O=O</t>
  </si>
  <si>
    <t>O-Acetyl-L-serine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</si>
  <si>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NO</t>
    </r>
    <r>
      <rPr>
        <vertAlign val="subscript"/>
        <sz val="12"/>
        <color theme="1"/>
        <rFont val="Calibri"/>
        <family val="2"/>
        <scheme val="minor"/>
      </rPr>
      <t>4</t>
    </r>
  </si>
  <si>
    <t>CC(OCC([N+])C(=O)[O-])=O</t>
  </si>
  <si>
    <t>O-Phospho-L-homoserine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</si>
  <si>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8</t>
    </r>
    <r>
      <rPr>
        <sz val="11"/>
        <color theme="1"/>
        <rFont val="Calibri"/>
        <family val="2"/>
        <scheme val="minor"/>
      </rPr>
      <t>NO</t>
    </r>
    <r>
      <rPr>
        <vertAlign val="subscript"/>
        <sz val="12"/>
        <color theme="1"/>
        <rFont val="Calibri"/>
        <family val="2"/>
        <scheme val="minor"/>
      </rPr>
      <t>6</t>
    </r>
    <r>
      <rPr>
        <sz val="11"/>
        <color theme="1"/>
        <rFont val="Calibri"/>
        <family val="2"/>
        <scheme val="minor"/>
      </rPr>
      <t>P</t>
    </r>
  </si>
  <si>
    <t>C(OP([O-])(=O)[O-])CC([N+])C(=O)[O-]</t>
  </si>
  <si>
    <t>Ornithine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</si>
  <si>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2</t>
    </r>
  </si>
  <si>
    <t>C([N+])CCC([N+])C(=O)[O-]</t>
  </si>
  <si>
    <t>Orotate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</si>
  <si>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3</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4</t>
    </r>
  </si>
  <si>
    <t>C([O-])(=O)C1(=CC(=O)NC(N1)=O)</t>
  </si>
  <si>
    <t>Orotidylic-acid</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</si>
  <si>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10</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11</t>
    </r>
    <r>
      <rPr>
        <sz val="11"/>
        <color theme="1"/>
        <rFont val="Calibri"/>
        <family val="2"/>
        <scheme val="minor"/>
      </rPr>
      <t>P</t>
    </r>
  </si>
  <si>
    <t>C1(=C(C(=O)[O-])N(C(NC(=O)1)=O)C2(C(O)C(C(COP([O-])([O-])=O)O2)O))</t>
  </si>
  <si>
    <t>Oxaloacetate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</si>
  <si>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5</t>
    </r>
  </si>
  <si>
    <t>C(C([O-])=O)C(=O)C([O-])=O</t>
  </si>
  <si>
    <t>Phenylpyruvate</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</si>
  <si>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3</t>
    </r>
  </si>
  <si>
    <t>C(=O)([O-])C(CC1(=CC=CC=C1))=O</t>
  </si>
  <si>
    <t>Phosphate</t>
  </si>
  <si>
    <r>
      <t>HO</t>
    </r>
    <r>
      <rPr>
        <vertAlign val="subscript"/>
        <sz val="12"/>
        <color theme="1"/>
        <rFont val="Calibri"/>
        <family val="2"/>
        <scheme val="minor"/>
      </rPr>
      <t>4</t>
    </r>
    <r>
      <rPr>
        <sz val="11"/>
        <color theme="1"/>
        <rFont val="Calibri"/>
        <family val="2"/>
        <scheme val="minor"/>
      </rPr>
      <t>P</t>
    </r>
  </si>
  <si>
    <t>P([O-])([O-])(O)=O</t>
  </si>
  <si>
    <t>Phosphoenolpyruvate</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</si>
  <si>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6</t>
    </r>
    <r>
      <rPr>
        <sz val="11"/>
        <color theme="1"/>
        <rFont val="Calibri"/>
        <family val="2"/>
        <scheme val="minor"/>
      </rPr>
      <t>P</t>
    </r>
  </si>
  <si>
    <t>C=C(OP([O-])([O-])=O)C([O-])=O</t>
  </si>
  <si>
    <t>Phosphoribosyl-AMP</t>
  </si>
  <si>
    <r>
      <t>C</t>
    </r>
    <r>
      <rPr>
        <vertAlign val="subscript"/>
        <sz val="12"/>
        <color theme="1"/>
        <rFont val="Calibri"/>
        <family val="2"/>
        <scheme val="minor"/>
      </rPr>
      <t>15</t>
    </r>
    <r>
      <rPr>
        <sz val="11"/>
        <color theme="1"/>
        <rFont val="Calibri"/>
        <family val="2"/>
        <scheme val="minor"/>
      </rPr>
      <t>H</t>
    </r>
    <r>
      <rPr>
        <vertAlign val="subscript"/>
        <sz val="12"/>
        <color theme="1"/>
        <rFont val="Calibri"/>
        <family val="2"/>
        <scheme val="minor"/>
      </rPr>
      <t>19</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2</t>
    </r>
  </si>
  <si>
    <t>C4(N(C1(C(C(C(O1)COP([O-])([O-])=O)O)O))C2(=C(C(N(C=N2)C3(OC(C(C3O)O)COP([O-])([O-])=O))=N)N=4))</t>
  </si>
  <si>
    <t>Phosphoribosyl-ATP</t>
  </si>
  <si>
    <r>
      <t>C</t>
    </r>
    <r>
      <rPr>
        <vertAlign val="subscript"/>
        <sz val="12"/>
        <color theme="1"/>
        <rFont val="Calibri"/>
        <family val="2"/>
        <scheme val="minor"/>
      </rPr>
      <t>15</t>
    </r>
    <r>
      <rPr>
        <sz val="11"/>
        <color theme="1"/>
        <rFont val="Calibri"/>
        <family val="2"/>
        <scheme val="minor"/>
      </rPr>
      <t>H</t>
    </r>
    <r>
      <rPr>
        <vertAlign val="subscript"/>
        <sz val="12"/>
        <color theme="1"/>
        <rFont val="Calibri"/>
        <family val="2"/>
        <scheme val="minor"/>
      </rPr>
      <t>19</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20</t>
    </r>
    <r>
      <rPr>
        <sz val="11"/>
        <color theme="1"/>
        <rFont val="Calibri"/>
        <family val="2"/>
        <scheme val="minor"/>
      </rPr>
      <t>P</t>
    </r>
    <r>
      <rPr>
        <vertAlign val="subscript"/>
        <sz val="12"/>
        <color theme="1"/>
        <rFont val="Calibri"/>
        <family val="2"/>
        <scheme val="minor"/>
      </rPr>
      <t>4</t>
    </r>
  </si>
  <si>
    <t>C4(N(C1(C(C(C(O1)COP(OP(=O)([O-])OP(=O)([O-])[O-])([O-])=O)O)O))C2(=C(C(N(C=N2)C3(OC(C(C3O)O)COP([O-])([O-])=O))=N)N=4))</t>
  </si>
  <si>
    <t>phosphoribosylformiminoaicar-phosphate</t>
  </si>
  <si>
    <r>
      <t>C</t>
    </r>
    <r>
      <rPr>
        <vertAlign val="subscript"/>
        <sz val="12"/>
        <color theme="1"/>
        <rFont val="Calibri"/>
        <family val="2"/>
        <scheme val="minor"/>
      </rPr>
      <t>15</t>
    </r>
    <r>
      <rPr>
        <sz val="11"/>
        <color theme="1"/>
        <rFont val="Calibri"/>
        <family val="2"/>
        <scheme val="minor"/>
      </rPr>
      <t>H</t>
    </r>
    <r>
      <rPr>
        <vertAlign val="subscript"/>
        <sz val="12"/>
        <color theme="1"/>
        <rFont val="Calibri"/>
        <family val="2"/>
        <scheme val="minor"/>
      </rPr>
      <t>21</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15</t>
    </r>
    <r>
      <rPr>
        <sz val="11"/>
        <color theme="1"/>
        <rFont val="Calibri"/>
        <family val="2"/>
        <scheme val="minor"/>
      </rPr>
      <t>P</t>
    </r>
    <r>
      <rPr>
        <vertAlign val="subscript"/>
        <sz val="12"/>
        <color theme="1"/>
        <rFont val="Calibri"/>
        <family val="2"/>
        <scheme val="minor"/>
      </rPr>
      <t>2</t>
    </r>
  </si>
  <si>
    <t>C(NC1(OC(COP(=O)([O-])[O-])C(O)C(O)1))=NC3(=C(C(N)=O)N=CN(C2(OC(COP(=O)([O-])[O-])C(O)C(O)2))3)</t>
  </si>
  <si>
    <t>phosphoribulosylformimino-AICAR-phosphate</t>
  </si>
  <si>
    <t>C1(C(O)C(C(COP(=O)([O-])[O-])O1)O)N2(C=NC(C(=O)N)=C(NC=NCC(=O)C(O)C(O)COP(=O)([O-])[O-])2)</t>
  </si>
  <si>
    <t>p-hydroxyphenylpyruvate</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</si>
  <si>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4</t>
    </r>
  </si>
  <si>
    <t>PPi</t>
  </si>
  <si>
    <r>
      <t>HO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</si>
  <si>
    <t>O(P([O-])([O-])=O)P(=O)(O)[O-]</t>
  </si>
  <si>
    <t>Prephenate</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</si>
  <si>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8</t>
    </r>
    <r>
      <rPr>
        <sz val="11"/>
        <color theme="1"/>
        <rFont val="Calibri"/>
        <family val="2"/>
        <scheme val="minor"/>
      </rPr>
      <t>O</t>
    </r>
    <r>
      <rPr>
        <vertAlign val="subscript"/>
        <sz val="12"/>
        <color theme="1"/>
        <rFont val="Calibri"/>
        <family val="2"/>
        <scheme val="minor"/>
      </rPr>
      <t>6</t>
    </r>
  </si>
  <si>
    <t>C(=O)([O-])C1(CC(=O)C([O-])=O)(C=CC(O)C=C1)</t>
  </si>
  <si>
    <t>Proton</t>
  </si>
  <si>
    <t>H+</t>
  </si>
  <si>
    <t>[H+]</t>
  </si>
  <si>
    <t>proton_out</t>
  </si>
  <si>
    <t>PRPP</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</si>
  <si>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8</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3</t>
    </r>
  </si>
  <si>
    <t>C(OP(=O)([O-])[O-])C1(OC(OP(=O)([O-])OP(=O)([O-])[O-])C(O)C(O)1)</t>
  </si>
  <si>
    <t>Pyruvate</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</si>
  <si>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3</t>
    </r>
  </si>
  <si>
    <t>CC(=O)C(=O)[O-]</t>
  </si>
  <si>
    <t>ribose-5-phosphate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</si>
  <si>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</si>
  <si>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C(OP([O-])(=O)[O-])C1(C(O)C(O)C(O)O1)</t>
  </si>
  <si>
    <t>rRNA</t>
  </si>
  <si>
    <t>SAICAR</t>
  </si>
  <si>
    <r>
      <t>C</t>
    </r>
    <r>
      <rPr>
        <vertAlign val="subscript"/>
        <sz val="12"/>
        <color theme="1"/>
        <rFont val="Calibri"/>
        <family val="2"/>
        <scheme val="minor"/>
      </rPr>
      <t>13</t>
    </r>
    <r>
      <rPr>
        <sz val="11"/>
        <color theme="1"/>
        <rFont val="Calibri"/>
        <family val="2"/>
        <scheme val="minor"/>
      </rPr>
      <t>H</t>
    </r>
    <r>
      <rPr>
        <vertAlign val="subscript"/>
        <sz val="12"/>
        <color theme="1"/>
        <rFont val="Calibri"/>
        <family val="2"/>
        <scheme val="minor"/>
      </rPr>
      <t>15</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12</t>
    </r>
    <r>
      <rPr>
        <sz val="11"/>
        <color theme="1"/>
        <rFont val="Calibri"/>
        <family val="2"/>
        <scheme val="minor"/>
      </rPr>
      <t>P</t>
    </r>
  </si>
  <si>
    <t>C(OP([O-])([O-])=O)C2(C(O)C(O)C(N1(C(N)=C(C(=O)NC(C([O-])=O)CC([O-])=O)N=C1))O2)</t>
  </si>
  <si>
    <t>S-Dihydroorotate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</si>
  <si>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5</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4</t>
    </r>
  </si>
  <si>
    <t>C1(C(=O)NC(=O)NC(C(=O)[O-])1)</t>
  </si>
  <si>
    <t>sedoheptulose-1_7-bisphosphate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</si>
  <si>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12</t>
    </r>
    <r>
      <rPr>
        <sz val="11"/>
        <color theme="1"/>
        <rFont val="Calibri"/>
        <family val="2"/>
        <scheme val="minor"/>
      </rPr>
      <t>O</t>
    </r>
    <r>
      <rPr>
        <vertAlign val="subscript"/>
        <sz val="12"/>
        <color theme="1"/>
        <rFont val="Calibri"/>
        <family val="2"/>
        <scheme val="minor"/>
      </rPr>
      <t>13</t>
    </r>
    <r>
      <rPr>
        <sz val="11"/>
        <color theme="1"/>
        <rFont val="Calibri"/>
        <family val="2"/>
        <scheme val="minor"/>
      </rPr>
      <t>P</t>
    </r>
    <r>
      <rPr>
        <vertAlign val="subscript"/>
        <sz val="12"/>
        <color theme="1"/>
        <rFont val="Calibri"/>
        <family val="2"/>
        <scheme val="minor"/>
      </rPr>
      <t>2</t>
    </r>
  </si>
  <si>
    <t>C(C(C(C(C(O)C(O)COP([O-])([O-])=O)O)O)=O)OP([O-])(=O)[O-]</t>
  </si>
  <si>
    <t>Sedoheptulose7-phosphate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</si>
  <si>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13</t>
    </r>
    <r>
      <rPr>
        <sz val="11"/>
        <color theme="1"/>
        <rFont val="Calibri"/>
        <family val="2"/>
        <scheme val="minor"/>
      </rPr>
      <t>O</t>
    </r>
    <r>
      <rPr>
        <vertAlign val="subscript"/>
        <sz val="12"/>
        <color theme="1"/>
        <rFont val="Calibri"/>
        <family val="2"/>
        <scheme val="minor"/>
      </rPr>
      <t>10</t>
    </r>
    <r>
      <rPr>
        <sz val="11"/>
        <color theme="1"/>
        <rFont val="Calibri"/>
        <family val="2"/>
        <scheme val="minor"/>
      </rPr>
      <t>P</t>
    </r>
  </si>
  <si>
    <t>C(O)C(C(O)C(C(O)C(COP(=O)([O-])[O-])O)O)=O</t>
  </si>
  <si>
    <t>Shikimate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</si>
  <si>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5</t>
    </r>
  </si>
  <si>
    <t>C1(CC(C(O)C(O)C=1)O)(C(=O)[O-])</t>
  </si>
  <si>
    <t>sn-glycerol-1-P</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</si>
  <si>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6</t>
    </r>
    <r>
      <rPr>
        <sz val="11"/>
        <color theme="1"/>
        <rFont val="Calibri"/>
        <family val="2"/>
        <scheme val="minor"/>
      </rPr>
      <t>P</t>
    </r>
  </si>
  <si>
    <t>C(OP(=O)([O-])[O-])C(O)CO</t>
  </si>
  <si>
    <t>Succinate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</si>
  <si>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4</t>
    </r>
  </si>
  <si>
    <t>C(C([O-])=O)CC([O-])=O</t>
  </si>
  <si>
    <t>Succinyl-CoA</t>
  </si>
  <si>
    <r>
      <t>C</t>
    </r>
    <r>
      <rPr>
        <vertAlign val="subscript"/>
        <sz val="12"/>
        <color theme="1"/>
        <rFont val="Calibri"/>
        <family val="2"/>
        <scheme val="minor"/>
      </rPr>
      <t>25</t>
    </r>
    <r>
      <rPr>
        <sz val="11"/>
        <color theme="1"/>
        <rFont val="Calibri"/>
        <family val="2"/>
        <scheme val="minor"/>
      </rPr>
      <t>H</t>
    </r>
    <r>
      <rPr>
        <vertAlign val="subscript"/>
        <sz val="12"/>
        <color theme="1"/>
        <rFont val="Calibri"/>
        <family val="2"/>
        <scheme val="minor"/>
      </rPr>
      <t>35</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19</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</si>
  <si>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CC(COP(=O)([O-])OP(=O)([O-])OCC3(C(C(C(N2(C=NC1(C(=NC=NC=12)N)))O3)O)OP([O-])([O-])=O))(C)C(C(NCCC(=O)NCCSC(CCC(=O)[O-])=O)=O)O</t>
  </si>
  <si>
    <t>tetrahydrofolate_B9</t>
  </si>
  <si>
    <r>
      <t>C</t>
    </r>
    <r>
      <rPr>
        <vertAlign val="subscript"/>
        <sz val="12"/>
        <color theme="1"/>
        <rFont val="Calibri"/>
        <family val="2"/>
        <scheme val="minor"/>
      </rPr>
      <t>19</t>
    </r>
    <r>
      <rPr>
        <sz val="11"/>
        <color theme="1"/>
        <rFont val="Calibri"/>
        <family val="2"/>
        <scheme val="minor"/>
      </rPr>
      <t>H</t>
    </r>
    <r>
      <rPr>
        <vertAlign val="subscript"/>
        <sz val="12"/>
        <color theme="1"/>
        <rFont val="Calibri"/>
        <family val="2"/>
        <scheme val="minor"/>
      </rPr>
      <t>21</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6</t>
    </r>
  </si>
  <si>
    <t>C1(NC3(N=C(N)NC(=O)C(NC1CNC2(=CC=C(C=C2)C(=O)NC(CCC(=O)[O-])C(=O)[O-]))=3))</t>
  </si>
  <si>
    <t>thioredoxin_ox</t>
  </si>
  <si>
    <t>C1(=O)(NC([R1])C(=O)NC([R2])C(=O)NC(CSSCC1N[a thioredoxin])C(=O)N[a thioredoxin])</t>
  </si>
  <si>
    <t>thioredoxin_red</t>
  </si>
  <si>
    <t>C(=O)(NC([R1])C(=O)NC([R2])C(=O)NC(CS)C(=O)N[a thioredoxin])C(CS)N[a thioredoxin]</t>
  </si>
  <si>
    <t>TPP</t>
  </si>
  <si>
    <r>
      <t>C</t>
    </r>
    <r>
      <rPr>
        <vertAlign val="subscript"/>
        <sz val="12"/>
        <color theme="1"/>
        <rFont val="Calibri"/>
        <family val="2"/>
        <scheme val="minor"/>
      </rPr>
      <t>12</t>
    </r>
    <r>
      <rPr>
        <sz val="11"/>
        <color theme="1"/>
        <rFont val="Calibri"/>
        <family val="2"/>
        <scheme val="minor"/>
      </rPr>
      <t>H</t>
    </r>
    <r>
      <rPr>
        <vertAlign val="subscript"/>
        <sz val="12"/>
        <color theme="1"/>
        <rFont val="Calibri"/>
        <family val="2"/>
        <scheme val="minor"/>
      </rPr>
      <t>16</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r>
      <rPr>
        <sz val="11"/>
        <color theme="1"/>
        <rFont val="Calibri"/>
        <family val="2"/>
        <scheme val="minor"/>
      </rPr>
      <t>S</t>
    </r>
  </si>
  <si>
    <t>C([N+]1(C(=C(CCOP([O-])(=O)OP([O-])([O-])=O)SC=1)C))C2(=C(N)N=C(N=C2)C)</t>
  </si>
  <si>
    <t>UDP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</si>
  <si>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12</t>
    </r>
    <r>
      <rPr>
        <sz val="11"/>
        <color theme="1"/>
        <rFont val="Calibri"/>
        <family val="2"/>
        <scheme val="minor"/>
      </rPr>
      <t>P</t>
    </r>
    <r>
      <rPr>
        <vertAlign val="subscript"/>
        <sz val="12"/>
        <color theme="1"/>
        <rFont val="Calibri"/>
        <family val="2"/>
        <scheme val="minor"/>
      </rPr>
      <t>2</t>
    </r>
  </si>
  <si>
    <t>C(OP(=O)([O-])OP(=O)([O-])[O-])C1(OC(C(O)C(O)1)N2(C=CC(=O)NC(=O)2))</t>
  </si>
  <si>
    <t>UMP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</si>
  <si>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</si>
  <si>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C(OP(=O)([O-])[O-])C1(OC(C(O)C(O)1)N2(C=CC(=O)NC(=O)2))</t>
  </si>
  <si>
    <t>UTP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</si>
  <si>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15</t>
    </r>
    <r>
      <rPr>
        <sz val="11"/>
        <color theme="1"/>
        <rFont val="Calibri"/>
        <family val="2"/>
        <scheme val="minor"/>
      </rPr>
      <t>P</t>
    </r>
    <r>
      <rPr>
        <vertAlign val="subscript"/>
        <sz val="12"/>
        <color theme="1"/>
        <rFont val="Calibri"/>
        <family val="2"/>
        <scheme val="minor"/>
      </rPr>
      <t>3</t>
    </r>
  </si>
  <si>
    <t>C(OP(=O)([O-])OP(=O)([O-])OP(=O)([O-])[O-])C1(OC(C(O)C(O)1)N2(C=CC(=O)NC(=O)2))</t>
  </si>
  <si>
    <t>XMP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</si>
  <si>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</si>
  <si>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C2(=NC1(C(=O)NC(=O)NC=1N2C3(OC(COP(=O)([O-])[O-])C(O)C(O)3)))</t>
  </si>
  <si>
    <t>formate</t>
  </si>
  <si>
    <t>CHO2</t>
  </si>
  <si>
    <t xml:space="preserve">[CH]([O-])=O </t>
  </si>
  <si>
    <t>methenyl-THF</t>
  </si>
  <si>
    <r>
      <t>C</t>
    </r>
    <r>
      <rPr>
        <vertAlign val="subscript"/>
        <sz val="11"/>
        <color theme="1"/>
        <rFont val="Calibri"/>
        <family val="2"/>
        <scheme val="minor"/>
      </rPr>
      <t>20</t>
    </r>
    <r>
      <rPr>
        <sz val="11"/>
        <color theme="1"/>
        <rFont val="Calibri"/>
        <family val="2"/>
        <scheme val="minor"/>
      </rPr>
      <t>H</t>
    </r>
    <r>
      <rPr>
        <vertAlign val="subscript"/>
        <sz val="11"/>
        <color theme="1"/>
        <rFont val="Calibri"/>
        <family val="2"/>
        <scheme val="minor"/>
      </rPr>
      <t>20</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6</t>
    </r>
  </si>
  <si>
    <t>C2(C4([N+](C1(C(N=C(NC=1N2)N)=O))=CN(C3(=CC=C(C(NC(C([O-])=O)CCC([O-])=O)=O)C=C3))C4))</t>
  </si>
  <si>
    <t>kg_biomass</t>
  </si>
  <si>
    <t>Maintenance_energy</t>
  </si>
  <si>
    <t>Phosphate_out</t>
  </si>
  <si>
    <r>
      <t>CO</t>
    </r>
    <r>
      <rPr>
        <vertAlign val="subscript"/>
        <sz val="12"/>
        <color theme="1"/>
        <rFont val="Calibri"/>
        <family val="2"/>
        <scheme val="minor"/>
      </rPr>
      <t>2</t>
    </r>
  </si>
  <si>
    <t>C(=O)=O</t>
  </si>
  <si>
    <t>NH3_ext</t>
  </si>
  <si>
    <r>
      <t>CH</t>
    </r>
    <r>
      <rPr>
        <vertAlign val="subscript"/>
        <sz val="12"/>
        <color theme="1"/>
        <rFont val="Calibri"/>
        <family val="2"/>
        <scheme val="minor"/>
      </rPr>
      <t>2</t>
    </r>
    <r>
      <rPr>
        <sz val="11"/>
        <color theme="1"/>
        <rFont val="Calibri"/>
        <family val="2"/>
        <scheme val="minor"/>
      </rPr>
      <t>O</t>
    </r>
  </si>
  <si>
    <t>C=O</t>
  </si>
  <si>
    <t>H2O2_ext</t>
  </si>
  <si>
    <r>
      <t>H</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2</t>
    </r>
  </si>
  <si>
    <t>OO</t>
  </si>
  <si>
    <t>H2S_ext</t>
  </si>
  <si>
    <r>
      <t>H</t>
    </r>
    <r>
      <rPr>
        <vertAlign val="subscript"/>
        <sz val="12"/>
        <color theme="1"/>
        <rFont val="Calibri"/>
        <family val="2"/>
        <scheme val="minor"/>
      </rPr>
      <t>2</t>
    </r>
    <r>
      <rPr>
        <sz val="11"/>
        <color theme="1"/>
        <rFont val="Calibri"/>
        <family val="2"/>
        <scheme val="minor"/>
      </rPr>
      <t>S</t>
    </r>
  </si>
  <si>
    <r>
      <t>H</t>
    </r>
    <r>
      <rPr>
        <vertAlign val="subscript"/>
        <sz val="12"/>
        <color theme="1"/>
        <rFont val="Calibri"/>
        <family val="2"/>
        <scheme val="minor"/>
      </rPr>
      <t>2</t>
    </r>
    <r>
      <rPr>
        <sz val="11"/>
        <color theme="1"/>
        <rFont val="Calibri"/>
        <family val="2"/>
        <scheme val="minor"/>
      </rPr>
      <t>O</t>
    </r>
  </si>
  <si>
    <t>[OH2]</t>
  </si>
  <si>
    <t>glyoxylate</t>
  </si>
  <si>
    <r>
      <t>C</t>
    </r>
    <r>
      <rPr>
        <vertAlign val="subscript"/>
        <sz val="11"/>
        <color theme="1"/>
        <rFont val="Calibri"/>
        <family val="2"/>
        <scheme val="minor"/>
      </rPr>
      <t>2</t>
    </r>
    <r>
      <rPr>
        <sz val="11"/>
        <color theme="1"/>
        <rFont val="Calibri"/>
        <family val="2"/>
        <scheme val="minor"/>
      </rPr>
      <t>HO</t>
    </r>
    <r>
      <rPr>
        <vertAlign val="subscript"/>
        <sz val="11"/>
        <color theme="1"/>
        <rFont val="Calibri"/>
        <family val="2"/>
        <scheme val="minor"/>
      </rPr>
      <t>3</t>
    </r>
  </si>
  <si>
    <t>C(C(=O)[O-])=O</t>
  </si>
  <si>
    <t>formula</t>
  </si>
  <si>
    <t>O</t>
  </si>
  <si>
    <t>SMILES</t>
  </si>
  <si>
    <t>Minus Charge</t>
  </si>
  <si>
    <t>Plus Charge</t>
  </si>
  <si>
    <t>Total Charge</t>
  </si>
  <si>
    <t>γ (° of red., NH3 ref)</t>
  </si>
  <si>
    <t>e- avail. (NH3 ref)</t>
  </si>
  <si>
    <t>1_3-Bisphospho-D-glycerate</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</si>
  <si>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10</t>
    </r>
    <r>
      <rPr>
        <sz val="11"/>
        <color theme="1"/>
        <rFont val="Calibri"/>
        <family val="2"/>
        <scheme val="minor"/>
      </rPr>
      <t>P</t>
    </r>
    <r>
      <rPr>
        <vertAlign val="subscript"/>
        <sz val="12"/>
        <color theme="1"/>
        <rFont val="Calibri"/>
        <family val="2"/>
        <scheme val="minor"/>
      </rPr>
      <t>2</t>
    </r>
  </si>
  <si>
    <t>C(C(O)C(OP(=O)([O-])[O-])=O)OP(=O)([O-])[O-]</t>
  </si>
  <si>
    <t>10-Formyltetrahydrofolate</t>
  </si>
  <si>
    <r>
      <t>C</t>
    </r>
    <r>
      <rPr>
        <vertAlign val="subscript"/>
        <sz val="12"/>
        <color theme="1"/>
        <rFont val="Calibri"/>
        <family val="2"/>
        <scheme val="minor"/>
      </rPr>
      <t>20</t>
    </r>
    <r>
      <rPr>
        <sz val="11"/>
        <color theme="1"/>
        <rFont val="Calibri"/>
        <family val="2"/>
        <scheme val="minor"/>
      </rPr>
      <t>H</t>
    </r>
    <r>
      <rPr>
        <vertAlign val="subscript"/>
        <sz val="12"/>
        <color theme="1"/>
        <rFont val="Calibri"/>
        <family val="2"/>
        <scheme val="minor"/>
      </rPr>
      <t>21</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7</t>
    </r>
  </si>
  <si>
    <t>C(=O)N(CC1(CNC2(NC(N)=NC(=O)C(N1)=2)))C3(=CC=C(C=C3)C(=O)NC(CCC(=O)[O-])C(=O)[O-])</t>
  </si>
  <si>
    <t>1-2-carboxyphenylamino-1-deoxyribulose-5-phosphate</t>
  </si>
  <si>
    <t>C(=O)([O-])C1(C=CC=CC(NCC(=O)C(O)C(O)COP(=O)([O-])[O-])=1)</t>
  </si>
  <si>
    <t>1-Pyrroline-5-carboxylate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</si>
  <si>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6</t>
    </r>
    <r>
      <rPr>
        <sz val="11"/>
        <color theme="1"/>
        <rFont val="Calibri"/>
        <family val="2"/>
        <scheme val="minor"/>
      </rPr>
      <t>NO</t>
    </r>
    <r>
      <rPr>
        <vertAlign val="subscript"/>
        <sz val="12"/>
        <color theme="1"/>
        <rFont val="Calibri"/>
        <family val="2"/>
        <scheme val="minor"/>
      </rPr>
      <t>2</t>
    </r>
  </si>
  <si>
    <t>C1(CCC(N=1)C(=O)[O-])</t>
  </si>
  <si>
    <t>2_3-Dihydroxy-3-methylvalerate</t>
  </si>
  <si>
    <t>CC(CC)(O)C(C([O-])=O)O</t>
  </si>
  <si>
    <t>2_3-Dihydroxy-isovalerate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</si>
  <si>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4</t>
    </r>
  </si>
  <si>
    <t>CC(C)(O)C(O)C(=O)[O-]</t>
  </si>
  <si>
    <t>2-Aceto-2-hydroxybutanoate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</si>
  <si>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4</t>
    </r>
  </si>
  <si>
    <t>CC(C(CC)(O)C(=O)[O-])=O</t>
  </si>
  <si>
    <t>2-Hydroxyethyl-ThPP</t>
  </si>
  <si>
    <r>
      <t>C</t>
    </r>
    <r>
      <rPr>
        <vertAlign val="subscript"/>
        <sz val="12"/>
        <color theme="1"/>
        <rFont val="Calibri"/>
        <family val="2"/>
        <scheme val="minor"/>
      </rPr>
      <t>14</t>
    </r>
    <r>
      <rPr>
        <sz val="11"/>
        <color theme="1"/>
        <rFont val="Calibri"/>
        <family val="2"/>
        <scheme val="minor"/>
      </rPr>
      <t>H</t>
    </r>
    <r>
      <rPr>
        <vertAlign val="subscript"/>
        <sz val="12"/>
        <color theme="1"/>
        <rFont val="Calibri"/>
        <family val="2"/>
        <scheme val="minor"/>
      </rPr>
      <t>20</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8</t>
    </r>
    <r>
      <rPr>
        <sz val="11"/>
        <color theme="1"/>
        <rFont val="Calibri"/>
        <family val="2"/>
        <scheme val="minor"/>
      </rPr>
      <t>P</t>
    </r>
    <r>
      <rPr>
        <vertAlign val="subscript"/>
        <sz val="12"/>
        <color theme="1"/>
        <rFont val="Calibri"/>
        <family val="2"/>
        <scheme val="minor"/>
      </rPr>
      <t>2</t>
    </r>
    <r>
      <rPr>
        <sz val="11"/>
        <color theme="1"/>
        <rFont val="Calibri"/>
        <family val="2"/>
        <scheme val="minor"/>
      </rPr>
      <t>S</t>
    </r>
  </si>
  <si>
    <t>CC2(=C(SC(C(C)O)=[N+](CC1(C=NC(C)=NC(N)=1))2)CCOP(=O)([O-])OP(=O)([O-])[O-])</t>
  </si>
  <si>
    <t>2-isopropyl-3-oxosuccinate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</si>
  <si>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8</t>
    </r>
    <r>
      <rPr>
        <sz val="11"/>
        <color theme="1"/>
        <rFont val="Calibri"/>
        <family val="2"/>
        <scheme val="minor"/>
      </rPr>
      <t>O</t>
    </r>
    <r>
      <rPr>
        <vertAlign val="subscript"/>
        <sz val="12"/>
        <color theme="1"/>
        <rFont val="Calibri"/>
        <family val="2"/>
        <scheme val="minor"/>
      </rPr>
      <t>5</t>
    </r>
  </si>
  <si>
    <t>C(=O)([O-])C(C(C)C)C(=O)C(=O)[O-]</t>
  </si>
  <si>
    <t>2-Isopropylmalate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</si>
  <si>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10</t>
    </r>
    <r>
      <rPr>
        <sz val="11"/>
        <color theme="1"/>
        <rFont val="Calibri"/>
        <family val="2"/>
        <scheme val="minor"/>
      </rPr>
      <t>O</t>
    </r>
    <r>
      <rPr>
        <vertAlign val="subscript"/>
        <sz val="12"/>
        <color theme="1"/>
        <rFont val="Calibri"/>
        <family val="2"/>
        <scheme val="minor"/>
      </rPr>
      <t>5</t>
    </r>
  </si>
  <si>
    <t>CC(C(O)(CC(=O)[O-])C([O-])=O)C</t>
  </si>
  <si>
    <t>2-Isopropylmaleate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</si>
  <si>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8</t>
    </r>
    <r>
      <rPr>
        <sz val="11"/>
        <color theme="1"/>
        <rFont val="Calibri"/>
        <family val="2"/>
        <scheme val="minor"/>
      </rPr>
      <t>O</t>
    </r>
    <r>
      <rPr>
        <vertAlign val="subscript"/>
        <sz val="12"/>
        <color theme="1"/>
        <rFont val="Calibri"/>
        <family val="2"/>
        <scheme val="minor"/>
      </rPr>
      <t>4</t>
    </r>
  </si>
  <si>
    <t>CC(C(C(=O)[O-])=CC(=O)[O-])C</t>
  </si>
  <si>
    <t>2-Keto-3-deoxy-6-phosphogluconate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</si>
  <si>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8</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</si>
  <si>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C(=O)([O-])C(=O)CC(O)C(O)COP(=O)([O-])[O-]</t>
  </si>
  <si>
    <t>2-keto-3-deoxygluconate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</si>
  <si>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6</t>
    </r>
  </si>
  <si>
    <t>C(=O)([O-])C(=O)CC(O)C(O)CO</t>
  </si>
  <si>
    <r>
      <t>C</t>
    </r>
    <r>
      <rPr>
        <vertAlign val="subscript"/>
        <sz val="12"/>
        <color theme="1"/>
        <rFont val="Calibri"/>
        <family val="2"/>
        <scheme val="minor"/>
      </rPr>
      <t>26</t>
    </r>
    <r>
      <rPr>
        <sz val="11"/>
        <color theme="1"/>
        <rFont val="Calibri"/>
        <family val="2"/>
        <scheme val="minor"/>
      </rPr>
      <t>H</t>
    </r>
    <r>
      <rPr>
        <vertAlign val="subscript"/>
        <sz val="12"/>
        <color theme="1"/>
        <rFont val="Calibri"/>
        <family val="2"/>
        <scheme val="minor"/>
      </rPr>
      <t>40</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17</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</si>
  <si>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2-Oxobutyrate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</si>
  <si>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3</t>
    </r>
  </si>
  <si>
    <t>C(C(CC)=O)([O-])=O</t>
  </si>
  <si>
    <t>2-Oxoglutarate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</si>
  <si>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5</t>
    </r>
  </si>
  <si>
    <t>C(CC(=O)C([O-])=O)C([O-])=O</t>
  </si>
  <si>
    <t>2-Phospho-D-glycerate</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</si>
  <si>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7</t>
    </r>
    <r>
      <rPr>
        <sz val="11"/>
        <color theme="1"/>
        <rFont val="Calibri"/>
        <family val="2"/>
        <scheme val="minor"/>
      </rPr>
      <t>P</t>
    </r>
  </si>
  <si>
    <t>C(=O)([O-])C(OP(=O)([O-])[O-])CO</t>
  </si>
  <si>
    <t>3-Dehydroshikimate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</si>
  <si>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5</t>
    </r>
  </si>
  <si>
    <t>C([O-])(=O)C1(=CC(=O)C(O)C(O)C1)</t>
  </si>
  <si>
    <t>3-hexulose-6-phosphate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</si>
  <si>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11</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</si>
  <si>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C(OP([O-])([O-])=O)C(O)C(O)C(=O)C(O)CO</t>
  </si>
  <si>
    <t>3-Hydroxy-3-methylglutaryl-CoA</t>
  </si>
  <si>
    <r>
      <t>C</t>
    </r>
    <r>
      <rPr>
        <vertAlign val="subscript"/>
        <sz val="12"/>
        <color theme="1"/>
        <rFont val="Calibri"/>
        <family val="2"/>
        <scheme val="minor"/>
      </rPr>
      <t>27</t>
    </r>
    <r>
      <rPr>
        <sz val="11"/>
        <color theme="1"/>
        <rFont val="Calibri"/>
        <family val="2"/>
        <scheme val="minor"/>
      </rPr>
      <t>H</t>
    </r>
    <r>
      <rPr>
        <vertAlign val="subscript"/>
        <sz val="12"/>
        <color theme="1"/>
        <rFont val="Calibri"/>
        <family val="2"/>
        <scheme val="minor"/>
      </rPr>
      <t>39</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20</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</si>
  <si>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C3(N(C1(C(O)C(C(COP(=O)(OP([O-])(OCC(C(O)C(=O)NCCC(=O)NCCSC(=O)CC(C)(O)CC(=O)[O-])(C)C)=O)[O-])O1)OP([O-])(=O)[O-]))C2(N=CN=C(N)C=2N=3))</t>
  </si>
  <si>
    <t>3-Isopropylmalate</t>
  </si>
  <si>
    <t>CC(C)C(C([O-])=O)C(C([O-])=O)O</t>
  </si>
  <si>
    <t>3-Methyl-2-oxobutanoate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</si>
  <si>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3</t>
    </r>
  </si>
  <si>
    <t>CC(C(C([O-])=O)=O)C</t>
  </si>
  <si>
    <t>3MOP</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</si>
  <si>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3</t>
    </r>
  </si>
  <si>
    <t>CCC(C(C([O-])=O)=O)C</t>
  </si>
  <si>
    <t>3-Phosphoglycerate</t>
  </si>
  <si>
    <t>C(OP(=O)([O-])[O-])C(O)C(=O)[O-]</t>
  </si>
  <si>
    <t>3-phosphoshikimate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</si>
  <si>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8</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</si>
  <si>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C(=O)([O-])C1(=CC(OP(=O)([O-])[O-])C(O)C(O)C1)</t>
  </si>
  <si>
    <t>4-hydroxyphenylacetate</t>
  </si>
  <si>
    <t>C8H7O3</t>
  </si>
  <si>
    <t>C1(C=C(O)C=CC=1CC(=O)[O-])</t>
  </si>
  <si>
    <t>4MOP</t>
  </si>
  <si>
    <t>CC(C)CC(C([O-])=O)=O</t>
  </si>
  <si>
    <t>4-Phospho-L-aspartate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</si>
  <si>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6</t>
    </r>
    <r>
      <rPr>
        <sz val="11"/>
        <color theme="1"/>
        <rFont val="Calibri"/>
        <family val="2"/>
        <scheme val="minor"/>
      </rPr>
      <t>NO</t>
    </r>
    <r>
      <rPr>
        <vertAlign val="subscript"/>
        <sz val="12"/>
        <color theme="1"/>
        <rFont val="Calibri"/>
        <family val="2"/>
        <scheme val="minor"/>
      </rPr>
      <t>7</t>
    </r>
    <r>
      <rPr>
        <sz val="11"/>
        <color theme="1"/>
        <rFont val="Calibri"/>
        <family val="2"/>
        <scheme val="minor"/>
      </rPr>
      <t>P</t>
    </r>
  </si>
  <si>
    <t>C(CC(=O)OP([O-])(=O)[O-])([N+])C(=O)[O-]</t>
  </si>
  <si>
    <t>5-10-Methylenetetrahydrofolate</t>
  </si>
  <si>
    <r>
      <t>C</t>
    </r>
    <r>
      <rPr>
        <vertAlign val="subscript"/>
        <sz val="12"/>
        <color theme="1"/>
        <rFont val="Calibri"/>
        <family val="2"/>
        <scheme val="minor"/>
      </rPr>
      <t>20</t>
    </r>
    <r>
      <rPr>
        <sz val="11"/>
        <color theme="1"/>
        <rFont val="Calibri"/>
        <family val="2"/>
        <scheme val="minor"/>
      </rPr>
      <t>H</t>
    </r>
    <r>
      <rPr>
        <vertAlign val="subscript"/>
        <sz val="12"/>
        <color theme="1"/>
        <rFont val="Calibri"/>
        <family val="2"/>
        <scheme val="minor"/>
      </rPr>
      <t>21</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6</t>
    </r>
  </si>
  <si>
    <t>C2(N(CN1(C3(C(=O)NC(N)=NC(NC[CH]12)=3)))C4(=CC=C(C=C4)C(=O)NC(CCC([O-])=O)C([O-])=O))</t>
  </si>
  <si>
    <t>5-Dehydroquinate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</si>
  <si>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6</t>
    </r>
  </si>
  <si>
    <t>C1(O)(C([O-])=O)(CC(=O)C(O)C(O)C1)</t>
  </si>
  <si>
    <t>5-O--1-Carboxyvinyl-3-phosphoshikimate</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</si>
  <si>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10</t>
    </r>
    <r>
      <rPr>
        <sz val="11"/>
        <color theme="1"/>
        <rFont val="Calibri"/>
        <family val="2"/>
        <scheme val="minor"/>
      </rPr>
      <t>P</t>
    </r>
  </si>
  <si>
    <t>C(=O)([O-])C1(=CC(OP(=O)([O-])[O-])C(O)C(OC(=C)C(=O)[O-])C1)</t>
  </si>
  <si>
    <t>5-phosphomevalonate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</si>
  <si>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10</t>
    </r>
    <r>
      <rPr>
        <sz val="11"/>
        <color theme="1"/>
        <rFont val="Calibri"/>
        <family val="2"/>
        <scheme val="minor"/>
      </rPr>
      <t>O</t>
    </r>
    <r>
      <rPr>
        <vertAlign val="subscript"/>
        <sz val="12"/>
        <color theme="1"/>
        <rFont val="Calibri"/>
        <family val="2"/>
        <scheme val="minor"/>
      </rPr>
      <t>7</t>
    </r>
    <r>
      <rPr>
        <sz val="11"/>
        <color theme="1"/>
        <rFont val="Calibri"/>
        <family val="2"/>
        <scheme val="minor"/>
      </rPr>
      <t>P</t>
    </r>
  </si>
  <si>
    <t>CC(O)(CCOP(=O)([O-])[O-])CC(=O)[O-]</t>
  </si>
  <si>
    <t>5-Phosphoribosylamine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</si>
  <si>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11</t>
    </r>
    <r>
      <rPr>
        <sz val="11"/>
        <color theme="1"/>
        <rFont val="Calibri"/>
        <family val="2"/>
        <scheme val="minor"/>
      </rPr>
      <t>NO</t>
    </r>
    <r>
      <rPr>
        <vertAlign val="subscript"/>
        <sz val="12"/>
        <color theme="1"/>
        <rFont val="Calibri"/>
        <family val="2"/>
        <scheme val="minor"/>
      </rPr>
      <t>7</t>
    </r>
    <r>
      <rPr>
        <sz val="11"/>
        <color theme="1"/>
        <rFont val="Calibri"/>
        <family val="2"/>
        <scheme val="minor"/>
      </rPr>
      <t>P</t>
    </r>
  </si>
  <si>
    <t>C(C1(OC([N+])C(O)C(O)1))OP([O-])([O-])=O</t>
  </si>
  <si>
    <t>6-Phospho-D-gluconate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</si>
  <si>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10</t>
    </r>
    <r>
      <rPr>
        <sz val="11"/>
        <color theme="1"/>
        <rFont val="Calibri"/>
        <family val="2"/>
        <scheme val="minor"/>
      </rPr>
      <t>O</t>
    </r>
    <r>
      <rPr>
        <vertAlign val="subscript"/>
        <sz val="12"/>
        <color theme="1"/>
        <rFont val="Calibri"/>
        <family val="2"/>
        <scheme val="minor"/>
      </rPr>
      <t>10</t>
    </r>
    <r>
      <rPr>
        <sz val="11"/>
        <color theme="1"/>
        <rFont val="Calibri"/>
        <family val="2"/>
        <scheme val="minor"/>
      </rPr>
      <t>P</t>
    </r>
  </si>
  <si>
    <t>C(C(C(C(C(C([O-])=O)O)O)O)O)OP([O-])([O-])=O</t>
  </si>
  <si>
    <t>Acetate</t>
  </si>
  <si>
    <r>
      <t>C</t>
    </r>
    <r>
      <rPr>
        <vertAlign val="subscript"/>
        <sz val="12"/>
        <color theme="1"/>
        <rFont val="Calibri"/>
        <family val="2"/>
        <scheme val="minor"/>
      </rPr>
      <t>2</t>
    </r>
    <r>
      <rPr>
        <sz val="11"/>
        <color theme="1"/>
        <rFont val="Calibri"/>
        <family val="2"/>
        <scheme val="minor"/>
      </rPr>
      <t>H</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2</t>
    </r>
  </si>
  <si>
    <t>CC([O-])=O</t>
  </si>
  <si>
    <t>Acetoacetyl-CoA</t>
  </si>
  <si>
    <r>
      <t>C</t>
    </r>
    <r>
      <rPr>
        <vertAlign val="subscript"/>
        <sz val="12"/>
        <color theme="1"/>
        <rFont val="Calibri"/>
        <family val="2"/>
        <scheme val="minor"/>
      </rPr>
      <t>25</t>
    </r>
    <r>
      <rPr>
        <sz val="11"/>
        <color theme="1"/>
        <rFont val="Calibri"/>
        <family val="2"/>
        <scheme val="minor"/>
      </rPr>
      <t>H</t>
    </r>
    <r>
      <rPr>
        <vertAlign val="subscript"/>
        <sz val="12"/>
        <color theme="1"/>
        <rFont val="Calibri"/>
        <family val="2"/>
        <scheme val="minor"/>
      </rPr>
      <t>36</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18</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</si>
  <si>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CC(=O)CC(=O)SCCNC(=O)CCNC(=O)C(O)C(C)(C)COP(=O)([O-])OP(=O)([O-])OCC3(OC(N2(C=NC1(C(N)=NC=NC=12)))C(O)C(OP(=O)([O-])[O-])3)</t>
  </si>
  <si>
    <t>Acetyl-CoA</t>
  </si>
  <si>
    <r>
      <t>C</t>
    </r>
    <r>
      <rPr>
        <vertAlign val="subscript"/>
        <sz val="12"/>
        <color theme="1"/>
        <rFont val="Calibri"/>
        <family val="2"/>
        <scheme val="minor"/>
      </rPr>
      <t>23</t>
    </r>
    <r>
      <rPr>
        <sz val="11"/>
        <color theme="1"/>
        <rFont val="Calibri"/>
        <family val="2"/>
        <scheme val="minor"/>
      </rPr>
      <t>H</t>
    </r>
    <r>
      <rPr>
        <vertAlign val="subscript"/>
        <sz val="12"/>
        <color theme="1"/>
        <rFont val="Calibri"/>
        <family val="2"/>
        <scheme val="minor"/>
      </rPr>
      <t>34</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17</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</si>
  <si>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CC(=O)SCCNC(=O)CCNC(=O)C(O)C(C)(C)COP(=O)(OP(=O)(OCC1(C(OP([O-])(=O)[O-])C(O)C(O1)N3(C2(=C(C(N)=NC=N2)N=C3))))[O-])[O-]</t>
  </si>
  <si>
    <t>Adenylosuccinate</t>
  </si>
  <si>
    <r>
      <t>C</t>
    </r>
    <r>
      <rPr>
        <vertAlign val="subscript"/>
        <sz val="12"/>
        <color theme="1"/>
        <rFont val="Calibri"/>
        <family val="2"/>
        <scheme val="minor"/>
      </rPr>
      <t>14</t>
    </r>
    <r>
      <rPr>
        <sz val="11"/>
        <color theme="1"/>
        <rFont val="Calibri"/>
        <family val="2"/>
        <scheme val="minor"/>
      </rPr>
      <t>H</t>
    </r>
    <r>
      <rPr>
        <vertAlign val="subscript"/>
        <sz val="12"/>
        <color theme="1"/>
        <rFont val="Calibri"/>
        <family val="2"/>
        <scheme val="minor"/>
      </rPr>
      <t>14</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11</t>
    </r>
    <r>
      <rPr>
        <sz val="11"/>
        <color theme="1"/>
        <rFont val="Calibri"/>
        <family val="2"/>
        <scheme val="minor"/>
      </rPr>
      <t>P</t>
    </r>
  </si>
  <si>
    <t>C1(N=C(NC(CC(=O)[O-])C(=O)[O-])C2(N=CN(C(N=1)=2)C3(OC(COP(=O)([O-])[O-])C(O)C(O)3)))</t>
  </si>
  <si>
    <t>ADP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</si>
  <si>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10</t>
    </r>
    <r>
      <rPr>
        <sz val="11"/>
        <color theme="1"/>
        <rFont val="Calibri"/>
        <family val="2"/>
        <scheme val="minor"/>
      </rPr>
      <t>P</t>
    </r>
    <r>
      <rPr>
        <vertAlign val="subscript"/>
        <sz val="12"/>
        <color theme="1"/>
        <rFont val="Calibri"/>
        <family val="2"/>
        <scheme val="minor"/>
      </rPr>
      <t>2</t>
    </r>
  </si>
  <si>
    <t>C3(N(C1(C(C(C(O1)COP(OP(=O)([O-])[O-])([O-])=O)O)O))C2(=C(C(=NC=N2)N)N=3))</t>
  </si>
  <si>
    <t>AICAR</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</si>
  <si>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</si>
  <si>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C1(N(C(N)=C(N=1)C(N)=O)C2(OC(C(O)C(O)2)COP(=O)([O-])[O-]))</t>
  </si>
  <si>
    <t>AIR</t>
  </si>
  <si>
    <r>
      <t>C</t>
    </r>
    <r>
      <rPr>
        <vertAlign val="subscript"/>
        <sz val="12"/>
        <color theme="1"/>
        <rFont val="Calibri"/>
        <family val="2"/>
        <scheme val="minor"/>
      </rPr>
      <t>8</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7</t>
    </r>
    <r>
      <rPr>
        <sz val="11"/>
        <color theme="1"/>
        <rFont val="Calibri"/>
        <family val="2"/>
        <scheme val="minor"/>
      </rPr>
      <t>P</t>
    </r>
  </si>
  <si>
    <t>C2(=[N+]C=C(N)N(C1(OC(COP([O-])(=O)[O-])C(O)C(O)1))2)</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</si>
  <si>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7</t>
    </r>
    <r>
      <rPr>
        <sz val="11"/>
        <color theme="1"/>
        <rFont val="Calibri"/>
        <family val="2"/>
        <scheme val="minor"/>
      </rPr>
      <t>NO</t>
    </r>
    <r>
      <rPr>
        <vertAlign val="subscript"/>
        <sz val="12"/>
        <color theme="1"/>
        <rFont val="Calibri"/>
        <family val="2"/>
        <scheme val="minor"/>
      </rPr>
      <t>2</t>
    </r>
  </si>
  <si>
    <t>C(=O)([O-])C([N+])C</t>
  </si>
  <si>
    <t>ALCTT</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</si>
  <si>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4</t>
    </r>
  </si>
  <si>
    <t>CC(=O)C(C)(O)C(=O)[O-]</t>
  </si>
  <si>
    <t>AMP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</si>
  <si>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7</t>
    </r>
    <r>
      <rPr>
        <sz val="11"/>
        <color theme="1"/>
        <rFont val="Calibri"/>
        <family val="2"/>
        <scheme val="minor"/>
      </rPr>
      <t>P</t>
    </r>
  </si>
  <si>
    <t>C3(N(C1(C(C(C(O1)COP([O-])([O-])=O)O)O))C2(=C(C(=NC=N2)N)N=3))</t>
  </si>
  <si>
    <t>Anthranilate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</si>
  <si>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6</t>
    </r>
    <r>
      <rPr>
        <sz val="11"/>
        <color theme="1"/>
        <rFont val="Calibri"/>
        <family val="2"/>
        <scheme val="minor"/>
      </rPr>
      <t>NO</t>
    </r>
    <r>
      <rPr>
        <vertAlign val="subscript"/>
        <sz val="12"/>
        <color theme="1"/>
        <rFont val="Calibri"/>
        <family val="2"/>
        <scheme val="minor"/>
      </rPr>
      <t>2</t>
    </r>
  </si>
  <si>
    <t>C(C1(=C(C=CC=C1)N))(=O)[O-]</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</si>
  <si>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8</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3</t>
    </r>
  </si>
  <si>
    <t>C(=O)([O-])C([N+])CC(=O)N</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</si>
  <si>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6</t>
    </r>
    <r>
      <rPr>
        <sz val="11"/>
        <color theme="1"/>
        <rFont val="Calibri"/>
        <family val="2"/>
        <scheme val="minor"/>
      </rPr>
      <t>NO</t>
    </r>
    <r>
      <rPr>
        <vertAlign val="subscript"/>
        <sz val="12"/>
        <color theme="1"/>
        <rFont val="Calibri"/>
        <family val="2"/>
        <scheme val="minor"/>
      </rPr>
      <t>4</t>
    </r>
  </si>
  <si>
    <t>C(C(CC([O-])=O)[N+])([O-])=O</t>
  </si>
  <si>
    <t>ATP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</si>
  <si>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13</t>
    </r>
    <r>
      <rPr>
        <sz val="11"/>
        <color theme="1"/>
        <rFont val="Calibri"/>
        <family val="2"/>
        <scheme val="minor"/>
      </rPr>
      <t>P</t>
    </r>
    <r>
      <rPr>
        <vertAlign val="subscript"/>
        <sz val="12"/>
        <color theme="1"/>
        <rFont val="Calibri"/>
        <family val="2"/>
        <scheme val="minor"/>
      </rPr>
      <t>3</t>
    </r>
  </si>
  <si>
    <t>C3(N(C1(C(C(C(O1)COP(OP(=O)([O-])OP(=O)([O-])[O-])([O-])=O)O)O))C2(=C(C(=NC=N2)N)N=3))</t>
  </si>
  <si>
    <t>C25</t>
  </si>
  <si>
    <t>C25-C25</t>
  </si>
  <si>
    <t>CAIR</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</si>
  <si>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</si>
  <si>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C(OP([O-])([O-])=O)C2(C(O)C(O)C(N1(C=NC(C([O-])=O)=C(N)1))O2)</t>
  </si>
  <si>
    <t>Carbamoylphosphate</t>
  </si>
  <si>
    <r>
      <t>CH</t>
    </r>
    <r>
      <rPr>
        <vertAlign val="subscript"/>
        <sz val="12"/>
        <color theme="1"/>
        <rFont val="Calibri"/>
        <family val="2"/>
        <scheme val="minor"/>
      </rPr>
      <t>2</t>
    </r>
    <r>
      <rPr>
        <sz val="11"/>
        <color theme="1"/>
        <rFont val="Calibri"/>
        <family val="2"/>
        <scheme val="minor"/>
      </rPr>
      <t>NO</t>
    </r>
    <r>
      <rPr>
        <vertAlign val="subscript"/>
        <sz val="12"/>
        <color theme="1"/>
        <rFont val="Calibri"/>
        <family val="2"/>
        <scheme val="minor"/>
      </rPr>
      <t>5</t>
    </r>
    <r>
      <rPr>
        <sz val="11"/>
        <color theme="1"/>
        <rFont val="Calibri"/>
        <family val="2"/>
        <scheme val="minor"/>
      </rPr>
      <t>P</t>
    </r>
  </si>
  <si>
    <t>C(N)(OP([O-])(=O)[O-])=O</t>
  </si>
  <si>
    <t>carrier_ox</t>
  </si>
  <si>
    <t>carrier_red</t>
  </si>
  <si>
    <t>CELB</t>
  </si>
  <si>
    <r>
      <t>C</t>
    </r>
    <r>
      <rPr>
        <vertAlign val="subscript"/>
        <sz val="12"/>
        <color theme="1"/>
        <rFont val="Calibri"/>
        <family val="2"/>
        <scheme val="minor"/>
      </rPr>
      <t>12</t>
    </r>
    <r>
      <rPr>
        <sz val="11"/>
        <color theme="1"/>
        <rFont val="Calibri"/>
        <family val="2"/>
        <scheme val="minor"/>
      </rPr>
      <t>H</t>
    </r>
    <r>
      <rPr>
        <vertAlign val="subscript"/>
        <sz val="12"/>
        <color theme="1"/>
        <rFont val="Calibri"/>
        <family val="2"/>
        <scheme val="minor"/>
      </rPr>
      <t>22</t>
    </r>
    <r>
      <rPr>
        <sz val="11"/>
        <color theme="1"/>
        <rFont val="Calibri"/>
        <family val="2"/>
        <scheme val="minor"/>
      </rPr>
      <t>O</t>
    </r>
    <r>
      <rPr>
        <vertAlign val="subscript"/>
        <sz val="12"/>
        <color theme="1"/>
        <rFont val="Calibri"/>
        <family val="2"/>
        <scheme val="minor"/>
      </rPr>
      <t>11</t>
    </r>
  </si>
  <si>
    <t>C(C1(C(C(C(C(O1)O)O)O)OC2(C(C(C(C(O2)CO)O)O)O)))O</t>
  </si>
  <si>
    <t>CELB_out</t>
  </si>
  <si>
    <t>Chorismate</t>
  </si>
  <si>
    <t>C([O-])(=O)C1(C=CC(O)C(OC(=C)C(=O)[O-])C=1)</t>
  </si>
  <si>
    <t>Citrate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</si>
  <si>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7</t>
    </r>
  </si>
  <si>
    <t>C(=O)([O-])CC(C(=O)[O-])(O)CC(=O)[O-]</t>
  </si>
  <si>
    <t>Citrulline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</si>
  <si>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3</t>
    </r>
  </si>
  <si>
    <t>C(NC(N)=O)CCC([N+])C([O-])=O</t>
  </si>
  <si>
    <t>CO2</t>
  </si>
  <si>
    <t>CO2_out</t>
  </si>
  <si>
    <t>CoA</t>
  </si>
  <si>
    <r>
      <t>C</t>
    </r>
    <r>
      <rPr>
        <vertAlign val="subscript"/>
        <sz val="12"/>
        <color theme="1"/>
        <rFont val="Calibri"/>
        <family val="2"/>
        <scheme val="minor"/>
      </rPr>
      <t>21</t>
    </r>
    <r>
      <rPr>
        <sz val="11"/>
        <color theme="1"/>
        <rFont val="Calibri"/>
        <family val="2"/>
        <scheme val="minor"/>
      </rPr>
      <t>H</t>
    </r>
    <r>
      <rPr>
        <vertAlign val="subscript"/>
        <sz val="12"/>
        <color theme="1"/>
        <rFont val="Calibri"/>
        <family val="2"/>
        <scheme val="minor"/>
      </rPr>
      <t>32</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16</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</si>
  <si>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C1(N=C(N)C2(=C(N=1)N(C=N2)C3(OC(COP(=O)(OP(=O)(OCC(C)(C)C(O)C(=O)NCCC(=O)NCCS)[O-])[O-])C(OP([O-])(=O)[O-])C(O)3)))</t>
  </si>
  <si>
    <t>CTP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</si>
  <si>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3</t>
    </r>
  </si>
  <si>
    <t>C(OP(=O)([O-])OP(=O)([O-])OP(=O)([O-])[O-])C1(OC(C(O)C(O)1)N2(C=CC(N)=NC(=O)2))</t>
  </si>
  <si>
    <t>Cystathionine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</si>
  <si>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14</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4</t>
    </r>
    <r>
      <rPr>
        <sz val="11"/>
        <color theme="1"/>
        <rFont val="Calibri"/>
        <family val="2"/>
        <scheme val="minor"/>
      </rPr>
      <t>S</t>
    </r>
  </si>
  <si>
    <t>C(SCC(C([O-])=O)[N+])CC([N+])C(=O)[O-]</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</si>
  <si>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7</t>
    </r>
    <r>
      <rPr>
        <sz val="11"/>
        <color theme="1"/>
        <rFont val="Calibri"/>
        <family val="2"/>
        <scheme val="minor"/>
      </rPr>
      <t>NO</t>
    </r>
    <r>
      <rPr>
        <vertAlign val="subscript"/>
        <sz val="12"/>
        <color theme="1"/>
        <rFont val="Calibri"/>
        <family val="2"/>
        <scheme val="minor"/>
      </rPr>
      <t>2</t>
    </r>
    <r>
      <rPr>
        <sz val="11"/>
        <color theme="1"/>
        <rFont val="Calibri"/>
        <family val="2"/>
        <scheme val="minor"/>
      </rPr>
      <t>S</t>
    </r>
  </si>
  <si>
    <t>C(C(C([O-])=O)[N+])S</t>
  </si>
  <si>
    <t>dADP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</si>
  <si>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9</t>
    </r>
    <r>
      <rPr>
        <sz val="11"/>
        <color theme="1"/>
        <rFont val="Calibri"/>
        <family val="2"/>
        <scheme val="minor"/>
      </rPr>
      <t>P</t>
    </r>
    <r>
      <rPr>
        <vertAlign val="subscript"/>
        <sz val="12"/>
        <color theme="1"/>
        <rFont val="Calibri"/>
        <family val="2"/>
        <scheme val="minor"/>
      </rPr>
      <t>2</t>
    </r>
  </si>
  <si>
    <t>C3(N(C1(CC(C(O1)COP(OP([O-])([O-])=O)([O-])=O)O))C2(=C(C(=NC=N2)N)N=3))</t>
  </si>
  <si>
    <t>DAHP</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</si>
  <si>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10</t>
    </r>
    <r>
      <rPr>
        <sz val="11"/>
        <color theme="1"/>
        <rFont val="Calibri"/>
        <family val="2"/>
        <scheme val="minor"/>
      </rPr>
      <t>O</t>
    </r>
    <r>
      <rPr>
        <vertAlign val="subscript"/>
        <sz val="12"/>
        <color theme="1"/>
        <rFont val="Calibri"/>
        <family val="2"/>
        <scheme val="minor"/>
      </rPr>
      <t>10</t>
    </r>
    <r>
      <rPr>
        <sz val="11"/>
        <color theme="1"/>
        <rFont val="Calibri"/>
        <family val="2"/>
        <scheme val="minor"/>
      </rPr>
      <t>P</t>
    </r>
  </si>
  <si>
    <t>C(=O)([O-])C(=O)CC(O)C(O)C(O)COP([O-])(=O)[O-]</t>
  </si>
  <si>
    <t>dATP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</si>
  <si>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12</t>
    </r>
    <r>
      <rPr>
        <sz val="11"/>
        <color theme="1"/>
        <rFont val="Calibri"/>
        <family val="2"/>
        <scheme val="minor"/>
      </rPr>
      <t>P</t>
    </r>
    <r>
      <rPr>
        <vertAlign val="subscript"/>
        <sz val="12"/>
        <color theme="1"/>
        <rFont val="Calibri"/>
        <family val="2"/>
        <scheme val="minor"/>
      </rPr>
      <t>3</t>
    </r>
  </si>
  <si>
    <t>C3(N(C1(CC(C(O1)COP(OP(OP(=O)([O-])[O-])([O-])=O)([O-])=O)O))C2(=C(C(=NC=N2)N)N=3))</t>
  </si>
  <si>
    <t>dCTP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</si>
  <si>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13</t>
    </r>
    <r>
      <rPr>
        <sz val="11"/>
        <color theme="1"/>
        <rFont val="Calibri"/>
        <family val="2"/>
        <scheme val="minor"/>
      </rPr>
      <t>P</t>
    </r>
    <r>
      <rPr>
        <vertAlign val="subscript"/>
        <sz val="12"/>
        <color theme="1"/>
        <rFont val="Calibri"/>
        <family val="2"/>
        <scheme val="minor"/>
      </rPr>
      <t>3</t>
    </r>
  </si>
  <si>
    <t>C(C2(C(CC(N1(C(N=C(C=C1)N)=O))O2)O))OP(OP(OP([O-])([O-])=O)([O-])=O)([O-])=O</t>
  </si>
  <si>
    <t>D-erythro-imidazol-glycerol-phosphate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</si>
  <si>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9</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6</t>
    </r>
    <r>
      <rPr>
        <sz val="11"/>
        <color theme="1"/>
        <rFont val="Calibri"/>
        <family val="2"/>
        <scheme val="minor"/>
      </rPr>
      <t>P</t>
    </r>
  </si>
  <si>
    <t>C(OP(=O)([O-])[O-])C(C(C1(N=CNC=1))O)O</t>
  </si>
  <si>
    <t>D-Erythrose4-phosphate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</si>
  <si>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7</t>
    </r>
    <r>
      <rPr>
        <sz val="11"/>
        <color theme="1"/>
        <rFont val="Calibri"/>
        <family val="2"/>
        <scheme val="minor"/>
      </rPr>
      <t>P</t>
    </r>
  </si>
  <si>
    <t>C(C(C(COP([O-])([O-])=O)O)O)=O</t>
  </si>
  <si>
    <t>D-fructose-6-phosphate</t>
  </si>
  <si>
    <t>C(OP(=O)([O-])[O-])C1(OC(O)(CO)C(O)C(O)1)</t>
  </si>
  <si>
    <t>D-glucose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</si>
  <si>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12</t>
    </r>
    <r>
      <rPr>
        <sz val="11"/>
        <color theme="1"/>
        <rFont val="Calibri"/>
        <family val="2"/>
        <scheme val="minor"/>
      </rPr>
      <t>O</t>
    </r>
    <r>
      <rPr>
        <vertAlign val="subscript"/>
        <sz val="12"/>
        <color theme="1"/>
        <rFont val="Calibri"/>
        <family val="2"/>
        <scheme val="minor"/>
      </rPr>
      <t>6</t>
    </r>
  </si>
  <si>
    <t>C(C1(C(C(C(C(O1)O)O)O)O))O</t>
  </si>
  <si>
    <t>dGTP</t>
  </si>
  <si>
    <t>C2(=NC1(C(=O)NC(N)=NC=1N2C3(CC(O)C(COP(=O)([O-])OP(=O)([O-])OP(=O)([O-])[O-])O3)))</t>
  </si>
  <si>
    <t>DHAP</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</si>
  <si>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6</t>
    </r>
    <r>
      <rPr>
        <sz val="11"/>
        <color theme="1"/>
        <rFont val="Calibri"/>
        <family val="2"/>
        <scheme val="minor"/>
      </rPr>
      <t>P</t>
    </r>
  </si>
  <si>
    <t>C(C(=O)CO)OP([O-])([O-])=O</t>
  </si>
  <si>
    <t>Dihydrodipicolinate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</si>
  <si>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5</t>
    </r>
    <r>
      <rPr>
        <sz val="11"/>
        <color theme="1"/>
        <rFont val="Calibri"/>
        <family val="2"/>
        <scheme val="minor"/>
      </rPr>
      <t>NO</t>
    </r>
    <r>
      <rPr>
        <vertAlign val="subscript"/>
        <sz val="12"/>
        <color theme="1"/>
        <rFont val="Calibri"/>
        <family val="2"/>
        <scheme val="minor"/>
      </rPr>
      <t>4</t>
    </r>
  </si>
  <si>
    <t>C1(C(=NC(CC=1)C(=O)[O-])C(=O)[O-])</t>
  </si>
  <si>
    <t>Dihydrolipoamide</t>
  </si>
  <si>
    <r>
      <t>C</t>
    </r>
    <r>
      <rPr>
        <vertAlign val="subscript"/>
        <sz val="12"/>
        <color theme="1"/>
        <rFont val="Calibri"/>
        <family val="2"/>
        <scheme val="minor"/>
      </rPr>
      <t>8</t>
    </r>
    <r>
      <rPr>
        <sz val="11"/>
        <color theme="1"/>
        <rFont val="Calibri"/>
        <family val="2"/>
        <scheme val="minor"/>
      </rPr>
      <t>H</t>
    </r>
    <r>
      <rPr>
        <vertAlign val="subscript"/>
        <sz val="12"/>
        <color theme="1"/>
        <rFont val="Calibri"/>
        <family val="2"/>
        <scheme val="minor"/>
      </rPr>
      <t>17</t>
    </r>
    <r>
      <rPr>
        <sz val="11"/>
        <color theme="1"/>
        <rFont val="Calibri"/>
        <family val="2"/>
        <scheme val="minor"/>
      </rPr>
      <t>NOS</t>
    </r>
    <r>
      <rPr>
        <vertAlign val="subscript"/>
        <sz val="12"/>
        <color theme="1"/>
        <rFont val="Calibri"/>
        <family val="2"/>
        <scheme val="minor"/>
      </rPr>
      <t>2</t>
    </r>
  </si>
  <si>
    <t>C(S)CC(S)CCCCC(N)=O</t>
  </si>
  <si>
    <t>dimethylallyl-diphosphate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</si>
  <si>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</si>
  <si>
    <t>CC(C)=CCOP(=O)([O-])OP(=O)([O-])[O-]</t>
  </si>
  <si>
    <t>DNA</t>
  </si>
  <si>
    <t>D-Ribulose5-phosphate</t>
  </si>
  <si>
    <t>C(C(C(C(CO)=O)O)O)OP([O-])([O-])=O</t>
  </si>
  <si>
    <t>dTDP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</si>
  <si>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11</t>
    </r>
    <r>
      <rPr>
        <sz val="11"/>
        <color theme="1"/>
        <rFont val="Calibri"/>
        <family val="2"/>
        <scheme val="minor"/>
      </rPr>
      <t>P</t>
    </r>
    <r>
      <rPr>
        <vertAlign val="subscript"/>
        <sz val="12"/>
        <color theme="1"/>
        <rFont val="Calibri"/>
        <family val="2"/>
        <scheme val="minor"/>
      </rPr>
      <t>2</t>
    </r>
  </si>
  <si>
    <t>CC1(=CN(C(=O)NC(=O)1)C2(CC(O)C(COP(=O)([O-])OP(=O)([O-])[O-])O2))</t>
  </si>
  <si>
    <t>dTMP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</si>
  <si>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</si>
  <si>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CC1(=CN(C(=O)NC(=O)1)C2(CC(O)C(COP(=O)([O-])[O-])O2))</t>
  </si>
  <si>
    <t>dTTP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</si>
  <si>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3</t>
    </r>
  </si>
  <si>
    <t>CC1(=CN(C(=O)NC(=O)1)C2(CC(O)C(COP(=O)([O-])OP(=O)([O-])OP(=O)([O-])[O-])O2))</t>
  </si>
  <si>
    <t>dUMP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</si>
  <si>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</si>
  <si>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C(OP(=O)([O-])[O-])C1(OC(CC(O)1)N2(C=CC(=O)NC(=O)2))</t>
  </si>
  <si>
    <t>dUTP</t>
  </si>
  <si>
    <r>
      <t>C</t>
    </r>
    <r>
      <rPr>
        <vertAlign val="subscript"/>
        <sz val="12"/>
        <color theme="1"/>
        <rFont val="Calibri"/>
        <family val="2"/>
        <scheme val="minor"/>
      </rPr>
      <t>9</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3</t>
    </r>
  </si>
  <si>
    <t>C(OP(=O)([O-])OP(=O)([O-])OP(=O)([O-])[O-])C1(OC(CC(O)1)N2(C=CC(=O)NC(=O)2))</t>
  </si>
  <si>
    <t>D-Xylulose5-phosphate</t>
  </si>
  <si>
    <t>C(OP([O-])(=O)[O-])C(O)C(O)C(=O)CO</t>
  </si>
  <si>
    <t>FAD</t>
  </si>
  <si>
    <r>
      <t>C</t>
    </r>
    <r>
      <rPr>
        <vertAlign val="subscript"/>
        <sz val="12"/>
        <color theme="1"/>
        <rFont val="Calibri"/>
        <family val="2"/>
        <scheme val="minor"/>
      </rPr>
      <t>27</t>
    </r>
    <r>
      <rPr>
        <sz val="11"/>
        <color theme="1"/>
        <rFont val="Calibri"/>
        <family val="2"/>
        <scheme val="minor"/>
      </rPr>
      <t>H</t>
    </r>
    <r>
      <rPr>
        <vertAlign val="subscript"/>
        <sz val="12"/>
        <color theme="1"/>
        <rFont val="Calibri"/>
        <family val="2"/>
        <scheme val="minor"/>
      </rPr>
      <t>31</t>
    </r>
    <r>
      <rPr>
        <sz val="11"/>
        <color theme="1"/>
        <rFont val="Calibri"/>
        <family val="2"/>
        <scheme val="minor"/>
      </rPr>
      <t>N</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15</t>
    </r>
    <r>
      <rPr>
        <sz val="11"/>
        <color theme="1"/>
        <rFont val="Calibri"/>
        <family val="2"/>
        <scheme val="minor"/>
      </rPr>
      <t>P</t>
    </r>
    <r>
      <rPr>
        <vertAlign val="subscript"/>
        <sz val="12"/>
        <color theme="1"/>
        <rFont val="Calibri"/>
        <family val="2"/>
        <scheme val="minor"/>
      </rPr>
      <t>2</t>
    </r>
  </si>
  <si>
    <t>C(C(O)C(C(O)CN2(C3(C=C(C(C)=CC(N=C1(C(=O)NC(=O)N=C12))=3)C)))O)OP(OP([O-])(OCC6(C(O)C(O)C(N5(C=NC4(C(N)=NC=NC=45)))O6))=O)([O-])=O</t>
  </si>
  <si>
    <t>FADH2</t>
  </si>
  <si>
    <r>
      <t>C</t>
    </r>
    <r>
      <rPr>
        <vertAlign val="subscript"/>
        <sz val="12"/>
        <color theme="1"/>
        <rFont val="Calibri"/>
        <family val="2"/>
        <scheme val="minor"/>
      </rPr>
      <t>27</t>
    </r>
    <r>
      <rPr>
        <sz val="11"/>
        <color theme="1"/>
        <rFont val="Calibri"/>
        <family val="2"/>
        <scheme val="minor"/>
      </rPr>
      <t>H</t>
    </r>
    <r>
      <rPr>
        <vertAlign val="subscript"/>
        <sz val="12"/>
        <color theme="1"/>
        <rFont val="Calibri"/>
        <family val="2"/>
        <scheme val="minor"/>
      </rPr>
      <t>33</t>
    </r>
    <r>
      <rPr>
        <sz val="11"/>
        <color theme="1"/>
        <rFont val="Calibri"/>
        <family val="2"/>
        <scheme val="minor"/>
      </rPr>
      <t>N</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15</t>
    </r>
    <r>
      <rPr>
        <sz val="11"/>
        <color theme="1"/>
        <rFont val="Calibri"/>
        <family val="2"/>
        <scheme val="minor"/>
      </rPr>
      <t>P</t>
    </r>
    <r>
      <rPr>
        <vertAlign val="subscript"/>
        <sz val="12"/>
        <color theme="1"/>
        <rFont val="Calibri"/>
        <family val="2"/>
        <scheme val="minor"/>
      </rPr>
      <t>2</t>
    </r>
  </si>
  <si>
    <t>CC4(C(=CC5(NC6(=C(N(CC(O)C(O)C(COP(=O)([O-])OP(=O)(OCC1(C(O)C(C(O1)N2(C3(N=CN=C(C(N=C2)=3)N)))O))[O-])O)C(C=4)=5)NC(NC6=O)=O)))C)</t>
  </si>
  <si>
    <t>FAICAR</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</si>
  <si>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13</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9</t>
    </r>
    <r>
      <rPr>
        <sz val="11"/>
        <color theme="1"/>
        <rFont val="Calibri"/>
        <family val="2"/>
        <scheme val="minor"/>
      </rPr>
      <t>P</t>
    </r>
  </si>
  <si>
    <t>C(NC1(N(C=NC=1C(=O)N)C2(C(O)C(C(COP([O-])(=O)[O-])O2)O)))=O</t>
  </si>
  <si>
    <t>farnesyl-diphosphate</t>
  </si>
  <si>
    <r>
      <t>C</t>
    </r>
    <r>
      <rPr>
        <vertAlign val="subscript"/>
        <sz val="12"/>
        <color theme="1"/>
        <rFont val="Calibri"/>
        <family val="2"/>
        <scheme val="minor"/>
      </rPr>
      <t>15</t>
    </r>
    <r>
      <rPr>
        <sz val="11"/>
        <color theme="1"/>
        <rFont val="Calibri"/>
        <family val="2"/>
        <scheme val="minor"/>
      </rPr>
      <t>H</t>
    </r>
    <r>
      <rPr>
        <vertAlign val="subscript"/>
        <sz val="12"/>
        <color theme="1"/>
        <rFont val="Calibri"/>
        <family val="2"/>
        <scheme val="minor"/>
      </rPr>
      <t>25</t>
    </r>
    <r>
      <rPr>
        <sz val="11"/>
        <color theme="1"/>
        <rFont val="Calibri"/>
        <family val="2"/>
        <scheme val="minor"/>
      </rPr>
      <t>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</si>
  <si>
    <t>CC(=CCCC(=CCCC(=CCOP(OP([O-])(=O)[O-])(=O)[O-])C)C)C</t>
  </si>
  <si>
    <t>farnesyl-geranyl-diphosphate</t>
  </si>
  <si>
    <r>
      <t>C</t>
    </r>
    <r>
      <rPr>
        <vertAlign val="subscript"/>
        <sz val="12"/>
        <color theme="1"/>
        <rFont val="Calibri"/>
        <family val="2"/>
        <scheme val="minor"/>
      </rPr>
      <t>25</t>
    </r>
    <r>
      <rPr>
        <sz val="11"/>
        <color theme="1"/>
        <rFont val="Calibri"/>
        <family val="2"/>
        <scheme val="minor"/>
      </rPr>
      <t>H</t>
    </r>
    <r>
      <rPr>
        <vertAlign val="subscript"/>
        <sz val="12"/>
        <color theme="1"/>
        <rFont val="Calibri"/>
        <family val="2"/>
        <scheme val="minor"/>
      </rPr>
      <t>41</t>
    </r>
    <r>
      <rPr>
        <sz val="11"/>
        <color theme="1"/>
        <rFont val="Calibri"/>
        <family val="2"/>
        <scheme val="minor"/>
      </rPr>
      <t>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</si>
  <si>
    <t>CC(C)=CCCC(C)=CCCC(C)=CCCC(C)=CCCC(C)=CCOP(=O)([O-])OP(=O)([O-])[O-]</t>
  </si>
  <si>
    <t>ferricyt_c</t>
  </si>
  <si>
    <t>ferrocyt_c</t>
  </si>
  <si>
    <t>FGAM</t>
  </si>
  <si>
    <r>
      <t>C</t>
    </r>
    <r>
      <rPr>
        <vertAlign val="subscript"/>
        <sz val="12"/>
        <color theme="1"/>
        <rFont val="Calibri"/>
        <family val="2"/>
        <scheme val="minor"/>
      </rPr>
      <t>8</t>
    </r>
    <r>
      <rPr>
        <sz val="11"/>
        <color theme="1"/>
        <rFont val="Calibri"/>
        <family val="2"/>
        <scheme val="minor"/>
      </rPr>
      <t>H</t>
    </r>
    <r>
      <rPr>
        <vertAlign val="subscript"/>
        <sz val="12"/>
        <color theme="1"/>
        <rFont val="Calibri"/>
        <family val="2"/>
        <scheme val="minor"/>
      </rPr>
      <t>15</t>
    </r>
    <r>
      <rPr>
        <sz val="11"/>
        <color theme="1"/>
        <rFont val="Calibri"/>
        <family val="2"/>
        <scheme val="minor"/>
      </rPr>
      <t>N</t>
    </r>
    <r>
      <rPr>
        <vertAlign val="subscript"/>
        <sz val="12"/>
        <color theme="1"/>
        <rFont val="Calibri"/>
        <family val="2"/>
        <scheme val="minor"/>
      </rPr>
      <t>3</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</si>
  <si>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C(NCC(NC1(C(C(C(COP([O-])(=O)[O-])O1)O)O))=[N+])=O</t>
  </si>
  <si>
    <t>formaldehyde</t>
  </si>
  <si>
    <t>Fumarate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</si>
  <si>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4</t>
    </r>
  </si>
  <si>
    <t>C([O-])(C=CC(=O)[O-])=O</t>
  </si>
  <si>
    <t>GAR</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</si>
  <si>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14</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</si>
  <si>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C(NC1(OC(C(O)C1O)COP([O-])([O-])=O))(C[N+])=O</t>
  </si>
  <si>
    <t>GDP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</si>
  <si>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11</t>
    </r>
    <r>
      <rPr>
        <sz val="11"/>
        <color theme="1"/>
        <rFont val="Calibri"/>
        <family val="2"/>
        <scheme val="minor"/>
      </rPr>
      <t>P</t>
    </r>
    <r>
      <rPr>
        <vertAlign val="subscript"/>
        <sz val="12"/>
        <color theme="1"/>
        <rFont val="Calibri"/>
        <family val="2"/>
        <scheme val="minor"/>
      </rPr>
      <t>2</t>
    </r>
  </si>
  <si>
    <t>C2(=NC1(C(=O)NC(N)=NC=1N2C3(OC(COP(=O)([O-])OP(=O)([O-])[O-])C(O)C(O)3)))</t>
  </si>
  <si>
    <t>geranyl-diphosphate</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</si>
  <si>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17</t>
    </r>
    <r>
      <rPr>
        <sz val="11"/>
        <color theme="1"/>
        <rFont val="Calibri"/>
        <family val="2"/>
        <scheme val="minor"/>
      </rPr>
      <t>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</si>
  <si>
    <t>C(C=C(C)CCC=C(C)C)OP([O-])(OP(=O)([O-])[O-])=O</t>
  </si>
  <si>
    <t>geranyl-geranyl-diphosphate</t>
  </si>
  <si>
    <r>
      <t>C</t>
    </r>
    <r>
      <rPr>
        <vertAlign val="subscript"/>
        <sz val="12"/>
        <color theme="1"/>
        <rFont val="Calibri"/>
        <family val="2"/>
        <scheme val="minor"/>
      </rPr>
      <t>20</t>
    </r>
    <r>
      <rPr>
        <sz val="11"/>
        <color theme="1"/>
        <rFont val="Calibri"/>
        <family val="2"/>
        <scheme val="minor"/>
      </rPr>
      <t>H</t>
    </r>
    <r>
      <rPr>
        <vertAlign val="subscript"/>
        <sz val="12"/>
        <color theme="1"/>
        <rFont val="Calibri"/>
        <family val="2"/>
        <scheme val="minor"/>
      </rPr>
      <t>33</t>
    </r>
    <r>
      <rPr>
        <sz val="11"/>
        <color theme="1"/>
        <rFont val="Calibri"/>
        <family val="2"/>
        <scheme val="minor"/>
      </rPr>
      <t>O</t>
    </r>
    <r>
      <rPr>
        <vertAlign val="subscript"/>
        <sz val="12"/>
        <color theme="1"/>
        <rFont val="Calibri"/>
        <family val="2"/>
        <scheme val="minor"/>
      </rPr>
      <t>7</t>
    </r>
    <r>
      <rPr>
        <sz val="11"/>
        <color theme="1"/>
        <rFont val="Calibri"/>
        <family val="2"/>
        <scheme val="minor"/>
      </rPr>
      <t>P</t>
    </r>
    <r>
      <rPr>
        <vertAlign val="subscript"/>
        <sz val="12"/>
        <color theme="1"/>
        <rFont val="Calibri"/>
        <family val="2"/>
        <scheme val="minor"/>
      </rPr>
      <t>2</t>
    </r>
  </si>
  <si>
    <t>CC(=CCCC(C)=CCCC(C)=CCCC(C)=CCOP(=O)([O-])OP(=O)([O-])[O-])C</t>
  </si>
  <si>
    <t>GLCN</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</si>
  <si>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11</t>
    </r>
    <r>
      <rPr>
        <sz val="11"/>
        <color theme="1"/>
        <rFont val="Calibri"/>
        <family val="2"/>
        <scheme val="minor"/>
      </rPr>
      <t>O</t>
    </r>
    <r>
      <rPr>
        <vertAlign val="subscript"/>
        <sz val="12"/>
        <color theme="1"/>
        <rFont val="Calibri"/>
        <family val="2"/>
        <scheme val="minor"/>
      </rPr>
      <t>7</t>
    </r>
  </si>
  <si>
    <t>C(O)C(O)C(O)C(O)C(O)C(=O)[O-]</t>
  </si>
  <si>
    <t>glucose-6-phosphate</t>
  </si>
  <si>
    <t>C(C1(OC(C(C(C1O)O)O)O))OP([O-])([O-])=</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</si>
  <si>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8</t>
    </r>
    <r>
      <rPr>
        <sz val="11"/>
        <color theme="1"/>
        <rFont val="Calibri"/>
        <family val="2"/>
        <scheme val="minor"/>
      </rPr>
      <t>NO</t>
    </r>
    <r>
      <rPr>
        <vertAlign val="subscript"/>
        <sz val="12"/>
        <color theme="1"/>
        <rFont val="Calibri"/>
        <family val="2"/>
        <scheme val="minor"/>
      </rPr>
      <t>4</t>
    </r>
  </si>
  <si>
    <t>C(=O)([O-])C([N+])CCC(=O)[O-]</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</si>
  <si>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10</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3</t>
    </r>
  </si>
  <si>
    <t>C(=O)([O-])C([N+])CCC(=O)N</t>
  </si>
  <si>
    <t>glutaryl-coA</t>
  </si>
  <si>
    <t xml:space="preserve">C26H37N7O19P3S </t>
  </si>
  <si>
    <t xml:space="preserve">CC(COP(=O)([O-])OP([O-])(=O)OCC3(C(C(C(N2(C=NC1(C(=NC=NC=12)N)))O3)O)OP(=O)([O-])[O-]))(C)C(C(NCCC(=O)NCCSC(CCCC(=O)[O-])=O)=O)O </t>
  </si>
  <si>
    <t>Glyceraldehyde3-phosphate</t>
  </si>
  <si>
    <t>C(OP(=O)([O-])[O-])C(O)C=O</t>
  </si>
  <si>
    <r>
      <t>C</t>
    </r>
    <r>
      <rPr>
        <vertAlign val="subscript"/>
        <sz val="12"/>
        <color theme="1"/>
        <rFont val="Calibri"/>
        <family val="2"/>
        <scheme val="minor"/>
      </rPr>
      <t>2</t>
    </r>
    <r>
      <rPr>
        <sz val="11"/>
        <color theme="1"/>
        <rFont val="Calibri"/>
        <family val="2"/>
        <scheme val="minor"/>
      </rPr>
      <t>H</t>
    </r>
    <r>
      <rPr>
        <vertAlign val="subscript"/>
        <sz val="12"/>
        <color theme="1"/>
        <rFont val="Calibri"/>
        <family val="2"/>
        <scheme val="minor"/>
      </rPr>
      <t>5</t>
    </r>
    <r>
      <rPr>
        <sz val="11"/>
        <color theme="1"/>
        <rFont val="Calibri"/>
        <family val="2"/>
        <scheme val="minor"/>
      </rPr>
      <t>NO</t>
    </r>
    <r>
      <rPr>
        <vertAlign val="subscript"/>
        <sz val="12"/>
        <color theme="1"/>
        <rFont val="Calibri"/>
        <family val="2"/>
        <scheme val="minor"/>
      </rPr>
      <t>2</t>
    </r>
  </si>
  <si>
    <t>C(=O)([O-])C[N+]</t>
  </si>
  <si>
    <t>GMP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</si>
  <si>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</si>
  <si>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C2(=NC1(C(=O)NC(N)=NC=1N2C3(OC(COP([O-])(=O)[O-])C(O)C(O)3)))</t>
  </si>
  <si>
    <t>GTP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</si>
  <si>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12</t>
    </r>
    <r>
      <rPr>
        <sz val="11"/>
        <color theme="1"/>
        <rFont val="Calibri"/>
        <family val="2"/>
        <scheme val="minor"/>
      </rPr>
      <t>N</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14</t>
    </r>
    <r>
      <rPr>
        <sz val="11"/>
        <color theme="1"/>
        <rFont val="Calibri"/>
        <family val="2"/>
        <scheme val="minor"/>
      </rPr>
      <t>P</t>
    </r>
    <r>
      <rPr>
        <vertAlign val="subscript"/>
        <sz val="12"/>
        <color theme="1"/>
        <rFont val="Calibri"/>
        <family val="2"/>
        <scheme val="minor"/>
      </rPr>
      <t>3</t>
    </r>
  </si>
  <si>
    <t>C2(=NC1(C(=O)NC(N)=NC=1N2C3(OC(COP(=O)([O-])OP(=O)([O-])OP(=O)([O-])[O-])C(O)C(O)3)))</t>
  </si>
  <si>
    <t>H2CO3</t>
  </si>
  <si>
    <r>
      <t>CH</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3</t>
    </r>
  </si>
  <si>
    <t>C(O)(=O)O</t>
  </si>
  <si>
    <t>H2O</t>
  </si>
  <si>
    <t>H2O2</t>
  </si>
  <si>
    <t>H2S</t>
  </si>
  <si>
    <t>Homocysteine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</si>
  <si>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9</t>
    </r>
    <r>
      <rPr>
        <sz val="11"/>
        <color theme="1"/>
        <rFont val="Calibri"/>
        <family val="2"/>
        <scheme val="minor"/>
      </rPr>
      <t>NO</t>
    </r>
    <r>
      <rPr>
        <vertAlign val="subscript"/>
        <sz val="12"/>
        <color theme="1"/>
        <rFont val="Calibri"/>
        <family val="2"/>
        <scheme val="minor"/>
      </rPr>
      <t>2</t>
    </r>
    <r>
      <rPr>
        <sz val="11"/>
        <color theme="1"/>
        <rFont val="Calibri"/>
        <family val="2"/>
        <scheme val="minor"/>
      </rPr>
      <t>S</t>
    </r>
  </si>
  <si>
    <t>C(C(CCS)[N+])(=O)[O-]</t>
  </si>
  <si>
    <t>imidazole-acetol-phosphate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</si>
  <si>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7</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5</t>
    </r>
    <r>
      <rPr>
        <sz val="11"/>
        <color theme="1"/>
        <rFont val="Calibri"/>
        <family val="2"/>
        <scheme val="minor"/>
      </rPr>
      <t>P</t>
    </r>
  </si>
  <si>
    <t>C1(NC=NC=1CC(COP([O-])(=O)[O-])=O)</t>
  </si>
  <si>
    <t>IMP</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</si>
  <si>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11</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8</t>
    </r>
    <r>
      <rPr>
        <sz val="11"/>
        <color theme="1"/>
        <rFont val="Calibri"/>
        <family val="2"/>
        <scheme val="minor"/>
      </rPr>
      <t>P</t>
    </r>
  </si>
  <si>
    <t>C3(=NC1(=C(N=CN1C2(OC(COP(=O)([O-])[O-])C(O)C(O)2))C(=O)N3))</t>
  </si>
  <si>
    <t>indol</t>
  </si>
  <si>
    <t>C8H7N</t>
  </si>
  <si>
    <t>C2(C1(=C(NC=C1)C=CC=2))</t>
  </si>
  <si>
    <t>Indoleglycerol-phosphate</t>
  </si>
  <si>
    <r>
      <t>C</t>
    </r>
    <r>
      <rPr>
        <vertAlign val="subscript"/>
        <sz val="12"/>
        <color theme="1"/>
        <rFont val="Calibri"/>
        <family val="2"/>
        <scheme val="minor"/>
      </rPr>
      <t>11</t>
    </r>
    <r>
      <rPr>
        <sz val="11"/>
        <color theme="1"/>
        <rFont val="Calibri"/>
        <family val="2"/>
        <scheme val="minor"/>
      </rPr>
      <t>H</t>
    </r>
    <r>
      <rPr>
        <vertAlign val="subscript"/>
        <sz val="12"/>
        <color theme="1"/>
        <rFont val="Calibri"/>
        <family val="2"/>
        <scheme val="minor"/>
      </rPr>
      <t>12</t>
    </r>
    <r>
      <rPr>
        <sz val="11"/>
        <color theme="1"/>
        <rFont val="Calibri"/>
        <family val="2"/>
        <scheme val="minor"/>
      </rPr>
      <t>NO</t>
    </r>
    <r>
      <rPr>
        <vertAlign val="subscript"/>
        <sz val="12"/>
        <color theme="1"/>
        <rFont val="Calibri"/>
        <family val="2"/>
        <scheme val="minor"/>
      </rPr>
      <t>6</t>
    </r>
    <r>
      <rPr>
        <sz val="11"/>
        <color theme="1"/>
        <rFont val="Calibri"/>
        <family val="2"/>
        <scheme val="minor"/>
      </rPr>
      <t>P</t>
    </r>
  </si>
  <si>
    <t>C2(=C(C1(C=CC=CC=1N2))C(C(COP([O-])(=O)[O-])O)O)</t>
  </si>
  <si>
    <t>Isocitrate</t>
  </si>
  <si>
    <t>C(=O)(C(CC([O-])=O)C(O)C([O-])=O)[O-]</t>
  </si>
  <si>
    <t>isopentenyl-diphosphate</t>
  </si>
  <si>
    <t>CC(=C)CCOP([O-])(=O)OP([O-])(=O)[O-]</t>
  </si>
  <si>
    <t>isopentenyl-phosphate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</si>
  <si>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O</t>
    </r>
    <r>
      <rPr>
        <vertAlign val="subscript"/>
        <sz val="12"/>
        <color theme="1"/>
        <rFont val="Calibri"/>
        <family val="2"/>
        <scheme val="minor"/>
      </rPr>
      <t>4</t>
    </r>
    <r>
      <rPr>
        <sz val="11"/>
        <color theme="1"/>
        <rFont val="Calibri"/>
        <family val="2"/>
        <scheme val="minor"/>
      </rPr>
      <t>P</t>
    </r>
  </si>
  <si>
    <t>CC(=C)CCOP(=O)([O-])[O-]</t>
  </si>
  <si>
    <t>Isovaleryl-CoA</t>
  </si>
  <si>
    <t>CC(CC(=O)SCCNC(=O)CCNC(C(O)C(COP([O-])(=O)OP([O-])(=O)OCC3(C(C(C(N2(C=NC1(C(=NC=NC=12)N)))O3)O)OP([O-])(=O)[O-]))(C)C)=O)C</t>
  </si>
  <si>
    <t>L-Alanine</t>
  </si>
  <si>
    <t>L-Arginine</t>
  </si>
  <si>
    <r>
      <t>C</t>
    </r>
    <r>
      <rPr>
        <vertAlign val="subscript"/>
        <sz val="12"/>
        <color theme="1"/>
        <rFont val="Calibri"/>
        <family val="2"/>
        <scheme val="minor"/>
      </rPr>
      <t>6</t>
    </r>
    <r>
      <rPr>
        <sz val="11"/>
        <color theme="1"/>
        <rFont val="Calibri"/>
        <family val="2"/>
        <scheme val="minor"/>
      </rPr>
      <t>H</t>
    </r>
    <r>
      <rPr>
        <vertAlign val="subscript"/>
        <sz val="12"/>
        <color theme="1"/>
        <rFont val="Calibri"/>
        <family val="2"/>
        <scheme val="minor"/>
      </rPr>
      <t>15</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2</t>
    </r>
  </si>
  <si>
    <t>C(NC(=[N+])N)CCC([N+])C(=O)[O-]</t>
  </si>
  <si>
    <t>L-Argininosuccinate</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</si>
  <si>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17</t>
    </r>
    <r>
      <rPr>
        <sz val="11"/>
        <color theme="1"/>
        <rFont val="Calibri"/>
        <family val="2"/>
        <scheme val="minor"/>
      </rPr>
      <t>N</t>
    </r>
    <r>
      <rPr>
        <vertAlign val="subscript"/>
        <sz val="12"/>
        <color theme="1"/>
        <rFont val="Calibri"/>
        <family val="2"/>
        <scheme val="minor"/>
      </rPr>
      <t>4</t>
    </r>
    <r>
      <rPr>
        <sz val="11"/>
        <color theme="1"/>
        <rFont val="Calibri"/>
        <family val="2"/>
        <scheme val="minor"/>
      </rPr>
      <t>O</t>
    </r>
    <r>
      <rPr>
        <vertAlign val="subscript"/>
        <sz val="12"/>
        <color theme="1"/>
        <rFont val="Calibri"/>
        <family val="2"/>
        <scheme val="minor"/>
      </rPr>
      <t>6</t>
    </r>
  </si>
  <si>
    <t>C(NC(=[N+])NC(CC(=O)[O-])C(=O)[O-])CCC(C(=O)[O-])[N+]</t>
  </si>
  <si>
    <t>L-Asparagine</t>
  </si>
  <si>
    <t>L-Aspartate</t>
  </si>
  <si>
    <t>L-Aspartate4-semialdehyde</t>
  </si>
  <si>
    <r>
      <t>C</t>
    </r>
    <r>
      <rPr>
        <vertAlign val="subscript"/>
        <sz val="12"/>
        <color theme="1"/>
        <rFont val="Calibri"/>
        <family val="2"/>
        <scheme val="minor"/>
      </rPr>
      <t>4</t>
    </r>
    <r>
      <rPr>
        <sz val="11"/>
        <color theme="1"/>
        <rFont val="Calibri"/>
        <family val="2"/>
        <scheme val="minor"/>
      </rPr>
      <t>H</t>
    </r>
    <r>
      <rPr>
        <vertAlign val="subscript"/>
        <sz val="12"/>
        <color theme="1"/>
        <rFont val="Calibri"/>
        <family val="2"/>
        <scheme val="minor"/>
      </rPr>
      <t>7</t>
    </r>
    <r>
      <rPr>
        <sz val="11"/>
        <color theme="1"/>
        <rFont val="Calibri"/>
        <family val="2"/>
        <scheme val="minor"/>
      </rPr>
      <t>NO</t>
    </r>
    <r>
      <rPr>
        <vertAlign val="subscript"/>
        <sz val="12"/>
        <color theme="1"/>
        <rFont val="Calibri"/>
        <family val="2"/>
        <scheme val="minor"/>
      </rPr>
      <t>3</t>
    </r>
  </si>
  <si>
    <t>C(C=O)C([N+])C(=O)[O-]</t>
  </si>
  <si>
    <t>L-Cysteine</t>
  </si>
  <si>
    <t>L-Glutamate</t>
  </si>
  <si>
    <t>L-Glutamate5-semialdehyde</t>
  </si>
  <si>
    <r>
      <t>C</t>
    </r>
    <r>
      <rPr>
        <vertAlign val="subscript"/>
        <sz val="12"/>
        <color theme="1"/>
        <rFont val="Calibri"/>
        <family val="2"/>
        <scheme val="minor"/>
      </rPr>
      <t>5</t>
    </r>
    <r>
      <rPr>
        <sz val="11"/>
        <color theme="1"/>
        <rFont val="Calibri"/>
        <family val="2"/>
        <scheme val="minor"/>
      </rPr>
      <t>H</t>
    </r>
    <r>
      <rPr>
        <vertAlign val="subscript"/>
        <sz val="12"/>
        <color theme="1"/>
        <rFont val="Calibri"/>
        <family val="2"/>
        <scheme val="minor"/>
      </rPr>
      <t>9</t>
    </r>
    <r>
      <rPr>
        <sz val="11"/>
        <color theme="1"/>
        <rFont val="Calibri"/>
        <family val="2"/>
        <scheme val="minor"/>
      </rPr>
      <t>NO</t>
    </r>
    <r>
      <rPr>
        <vertAlign val="subscript"/>
        <sz val="12"/>
        <color theme="1"/>
        <rFont val="Calibri"/>
        <family val="2"/>
        <scheme val="minor"/>
      </rPr>
      <t>3</t>
    </r>
  </si>
  <si>
    <t>C(C([N+])C(=O)[O-])CC=O</t>
  </si>
  <si>
    <t>L-Glutamine</t>
  </si>
  <si>
    <t>Lipoamide</t>
  </si>
  <si>
    <r>
      <t>C</t>
    </r>
    <r>
      <rPr>
        <vertAlign val="subscript"/>
        <sz val="12"/>
        <color theme="1"/>
        <rFont val="Calibri"/>
        <family val="2"/>
        <scheme val="minor"/>
      </rPr>
      <t>8</t>
    </r>
    <r>
      <rPr>
        <sz val="11"/>
        <color theme="1"/>
        <rFont val="Calibri"/>
        <family val="2"/>
        <scheme val="minor"/>
      </rPr>
      <t>H</t>
    </r>
    <r>
      <rPr>
        <vertAlign val="subscript"/>
        <sz val="12"/>
        <color theme="1"/>
        <rFont val="Calibri"/>
        <family val="2"/>
        <scheme val="minor"/>
      </rPr>
      <t>15</t>
    </r>
    <r>
      <rPr>
        <sz val="11"/>
        <color theme="1"/>
        <rFont val="Calibri"/>
        <family val="2"/>
        <scheme val="minor"/>
      </rPr>
      <t>NOS</t>
    </r>
    <r>
      <rPr>
        <vertAlign val="subscript"/>
        <sz val="12"/>
        <color theme="1"/>
        <rFont val="Calibri"/>
        <family val="2"/>
        <scheme val="minor"/>
      </rPr>
      <t>2</t>
    </r>
  </si>
  <si>
    <t>C1(CC(CCCCC(N)=O)SS1)</t>
  </si>
  <si>
    <t>LL-2_6-Diaminopimelate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</si>
  <si>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14</t>
    </r>
    <r>
      <rPr>
        <sz val="11"/>
        <color theme="1"/>
        <rFont val="Calibri"/>
        <family val="2"/>
        <scheme val="minor"/>
      </rPr>
      <t>N</t>
    </r>
    <r>
      <rPr>
        <vertAlign val="subscript"/>
        <sz val="12"/>
        <color theme="1"/>
        <rFont val="Calibri"/>
        <family val="2"/>
        <scheme val="minor"/>
      </rPr>
      <t>2</t>
    </r>
    <r>
      <rPr>
        <sz val="11"/>
        <color theme="1"/>
        <rFont val="Calibri"/>
        <family val="2"/>
        <scheme val="minor"/>
      </rPr>
      <t>O</t>
    </r>
    <r>
      <rPr>
        <vertAlign val="subscript"/>
        <sz val="12"/>
        <color theme="1"/>
        <rFont val="Calibri"/>
        <family val="2"/>
        <scheme val="minor"/>
      </rPr>
      <t>4</t>
    </r>
  </si>
  <si>
    <t>C(C(CCCC(C([O-])=O)[N+])[N+])([O-])=O</t>
  </si>
  <si>
    <t>meso-2_6-Diaminopimelate</t>
  </si>
  <si>
    <t>methanethiol</t>
  </si>
  <si>
    <r>
      <t>CH</t>
    </r>
    <r>
      <rPr>
        <vertAlign val="subscript"/>
        <sz val="12"/>
        <color theme="1"/>
        <rFont val="Calibri"/>
        <family val="2"/>
        <scheme val="minor"/>
      </rPr>
      <t>4</t>
    </r>
    <r>
      <rPr>
        <sz val="11"/>
        <color theme="1"/>
        <rFont val="Calibri"/>
        <family val="2"/>
        <scheme val="minor"/>
      </rPr>
      <t>S</t>
    </r>
  </si>
  <si>
    <t>CS</t>
  </si>
  <si>
    <t>O2_out</t>
  </si>
  <si>
    <t>peptide_biomass</t>
  </si>
  <si>
    <t>propanoyl-CoA</t>
  </si>
  <si>
    <r>
      <t>C</t>
    </r>
    <r>
      <rPr>
        <vertAlign val="subscript"/>
        <sz val="12"/>
        <color theme="1"/>
        <rFont val="Calibri"/>
        <family val="2"/>
        <scheme val="minor"/>
      </rPr>
      <t>24</t>
    </r>
    <r>
      <rPr>
        <sz val="11"/>
        <color theme="1"/>
        <rFont val="Calibri"/>
        <family val="2"/>
        <scheme val="minor"/>
      </rPr>
      <t>H</t>
    </r>
    <r>
      <rPr>
        <vertAlign val="subscript"/>
        <sz val="12"/>
        <color theme="1"/>
        <rFont val="Calibri"/>
        <family val="2"/>
        <scheme val="minor"/>
      </rPr>
      <t>36</t>
    </r>
    <r>
      <rPr>
        <sz val="11"/>
        <color theme="1"/>
        <rFont val="Calibri"/>
        <family val="2"/>
        <scheme val="minor"/>
      </rPr>
      <t>N</t>
    </r>
    <r>
      <rPr>
        <vertAlign val="subscript"/>
        <sz val="12"/>
        <color theme="1"/>
        <rFont val="Calibri"/>
        <family val="2"/>
        <scheme val="minor"/>
      </rPr>
      <t>7</t>
    </r>
    <r>
      <rPr>
        <sz val="11"/>
        <color theme="1"/>
        <rFont val="Calibri"/>
        <family val="2"/>
        <scheme val="minor"/>
      </rPr>
      <t>O</t>
    </r>
    <r>
      <rPr>
        <vertAlign val="subscript"/>
        <sz val="12"/>
        <color theme="1"/>
        <rFont val="Calibri"/>
        <family val="2"/>
        <scheme val="minor"/>
      </rPr>
      <t>17</t>
    </r>
    <r>
      <rPr>
        <sz val="11"/>
        <color theme="1"/>
        <rFont val="Calibri"/>
        <family val="2"/>
        <scheme val="minor"/>
      </rPr>
      <t>P</t>
    </r>
    <r>
      <rPr>
        <vertAlign val="subscript"/>
        <sz val="12"/>
        <color theme="1"/>
        <rFont val="Calibri"/>
        <family val="2"/>
        <scheme val="minor"/>
      </rPr>
      <t>3</t>
    </r>
    <r>
      <rPr>
        <sz val="11"/>
        <color theme="1"/>
        <rFont val="Calibri"/>
        <family val="2"/>
        <scheme val="minor"/>
      </rPr>
      <t>S</t>
    </r>
  </si>
  <si>
    <t>C2(N(C1(C(O)C(C(COP([O-])(=O)OP([O-])(=O)OCC(C)(C)C(C(NCCC(=O)NCCSC(=O)CC)=O)O)O1)OP([O-])(=O)[O-]))C3(N=CN=C(C(N=2)=3)N))</t>
  </si>
  <si>
    <t>propionate</t>
  </si>
  <si>
    <r>
      <t>C</t>
    </r>
    <r>
      <rPr>
        <vertAlign val="subscript"/>
        <sz val="12"/>
        <color theme="1"/>
        <rFont val="Calibri"/>
        <family val="2"/>
        <scheme val="minor"/>
      </rPr>
      <t>3</t>
    </r>
    <r>
      <rPr>
        <sz val="11"/>
        <color theme="1"/>
        <rFont val="Calibri"/>
        <family val="2"/>
        <scheme val="minor"/>
      </rPr>
      <t>H</t>
    </r>
    <r>
      <rPr>
        <vertAlign val="subscript"/>
        <sz val="12"/>
        <color theme="1"/>
        <rFont val="Calibri"/>
        <family val="2"/>
        <scheme val="minor"/>
      </rPr>
      <t>5</t>
    </r>
    <r>
      <rPr>
        <sz val="11"/>
        <color theme="1"/>
        <rFont val="Calibri"/>
        <family val="2"/>
        <scheme val="minor"/>
      </rPr>
      <t>O</t>
    </r>
    <r>
      <rPr>
        <vertAlign val="subscript"/>
        <sz val="12"/>
        <color theme="1"/>
        <rFont val="Calibri"/>
        <family val="2"/>
        <scheme val="minor"/>
      </rPr>
      <t>2</t>
    </r>
  </si>
  <si>
    <t>CCC(=O)[O-]</t>
  </si>
  <si>
    <t>S-Acetyldihydrolipoamide</t>
  </si>
  <si>
    <r>
      <t>C</t>
    </r>
    <r>
      <rPr>
        <vertAlign val="subscript"/>
        <sz val="12"/>
        <color theme="1"/>
        <rFont val="Calibri"/>
        <family val="2"/>
        <scheme val="minor"/>
      </rPr>
      <t>10</t>
    </r>
    <r>
      <rPr>
        <sz val="11"/>
        <color theme="1"/>
        <rFont val="Calibri"/>
        <family val="2"/>
        <scheme val="minor"/>
      </rPr>
      <t>H</t>
    </r>
    <r>
      <rPr>
        <vertAlign val="subscript"/>
        <sz val="12"/>
        <color theme="1"/>
        <rFont val="Calibri"/>
        <family val="2"/>
        <scheme val="minor"/>
      </rPr>
      <t>19</t>
    </r>
    <r>
      <rPr>
        <sz val="11"/>
        <color theme="1"/>
        <rFont val="Calibri"/>
        <family val="2"/>
        <scheme val="minor"/>
      </rPr>
      <t>NO</t>
    </r>
    <r>
      <rPr>
        <vertAlign val="subscript"/>
        <sz val="12"/>
        <color theme="1"/>
        <rFont val="Calibri"/>
        <family val="2"/>
        <scheme val="minor"/>
      </rPr>
      <t>2</t>
    </r>
    <r>
      <rPr>
        <sz val="11"/>
        <color theme="1"/>
        <rFont val="Calibri"/>
        <family val="2"/>
        <scheme val="minor"/>
      </rPr>
      <t>S</t>
    </r>
    <r>
      <rPr>
        <vertAlign val="subscript"/>
        <sz val="12"/>
        <color theme="1"/>
        <rFont val="Calibri"/>
        <family val="2"/>
        <scheme val="minor"/>
      </rPr>
      <t>2</t>
    </r>
  </si>
  <si>
    <t>C(CC(CCCCC(N)=O)SC(=O)C)S</t>
  </si>
  <si>
    <t>tetrahydrodipicolinate</t>
  </si>
  <si>
    <r>
      <t>C</t>
    </r>
    <r>
      <rPr>
        <vertAlign val="subscript"/>
        <sz val="12"/>
        <color theme="1"/>
        <rFont val="Calibri"/>
        <family val="2"/>
        <scheme val="minor"/>
      </rPr>
      <t>7</t>
    </r>
    <r>
      <rPr>
        <sz val="11"/>
        <color theme="1"/>
        <rFont val="Calibri"/>
        <family val="2"/>
        <scheme val="minor"/>
      </rPr>
      <t>H</t>
    </r>
    <r>
      <rPr>
        <vertAlign val="subscript"/>
        <sz val="12"/>
        <color theme="1"/>
        <rFont val="Calibri"/>
        <family val="2"/>
        <scheme val="minor"/>
      </rPr>
      <t>7</t>
    </r>
    <r>
      <rPr>
        <sz val="11"/>
        <color theme="1"/>
        <rFont val="Calibri"/>
        <family val="2"/>
        <scheme val="minor"/>
      </rPr>
      <t>NO</t>
    </r>
    <r>
      <rPr>
        <vertAlign val="subscript"/>
        <sz val="12"/>
        <color theme="1"/>
        <rFont val="Calibri"/>
        <family val="2"/>
        <scheme val="minor"/>
      </rPr>
      <t>4</t>
    </r>
  </si>
  <si>
    <t>C1(N=C(CCC1)C([O-])=O)C([O-])=O</t>
  </si>
  <si>
    <t>urea</t>
  </si>
  <si>
    <r>
      <t>CH</t>
    </r>
    <r>
      <rPr>
        <vertAlign val="subscript"/>
        <sz val="12"/>
        <color theme="1"/>
        <rFont val="Calibri"/>
        <family val="2"/>
        <scheme val="minor"/>
      </rPr>
      <t>4</t>
    </r>
    <r>
      <rPr>
        <sz val="11"/>
        <color theme="1"/>
        <rFont val="Calibri"/>
        <family val="2"/>
        <scheme val="minor"/>
      </rPr>
      <t>N</t>
    </r>
    <r>
      <rPr>
        <vertAlign val="subscript"/>
        <sz val="12"/>
        <color theme="1"/>
        <rFont val="Calibri"/>
        <family val="2"/>
        <scheme val="minor"/>
      </rPr>
      <t>2</t>
    </r>
    <r>
      <rPr>
        <sz val="11"/>
        <color theme="1"/>
        <rFont val="Calibri"/>
        <family val="2"/>
        <scheme val="minor"/>
      </rPr>
      <t>O</t>
    </r>
  </si>
  <si>
    <t>C(=O)(N)N</t>
  </si>
  <si>
    <t>urea_ext</t>
  </si>
  <si>
    <t>D-fructose-1_6-bisphosphate</t>
  </si>
  <si>
    <r>
      <t>C</t>
    </r>
    <r>
      <rPr>
        <vertAlign val="subscript"/>
        <sz val="11"/>
        <color theme="1"/>
        <rFont val="Calibri"/>
        <family val="2"/>
        <scheme val="minor"/>
      </rPr>
      <t>6</t>
    </r>
    <r>
      <rPr>
        <sz val="11"/>
        <color theme="1"/>
        <rFont val="Calibri"/>
        <family val="2"/>
        <scheme val="minor"/>
      </rPr>
      <t>H</t>
    </r>
    <r>
      <rPr>
        <vertAlign val="subscript"/>
        <sz val="11"/>
        <color theme="1"/>
        <rFont val="Calibri"/>
        <family val="2"/>
        <scheme val="minor"/>
      </rPr>
      <t>10</t>
    </r>
    <r>
      <rPr>
        <sz val="11"/>
        <color theme="1"/>
        <rFont val="Calibri"/>
        <family val="2"/>
        <scheme val="minor"/>
      </rPr>
      <t>O</t>
    </r>
    <r>
      <rPr>
        <vertAlign val="subscript"/>
        <sz val="11"/>
        <color theme="1"/>
        <rFont val="Calibri"/>
        <family val="2"/>
        <scheme val="minor"/>
      </rPr>
      <t>12</t>
    </r>
    <r>
      <rPr>
        <sz val="11"/>
        <color theme="1"/>
        <rFont val="Calibri"/>
        <family val="2"/>
        <scheme val="minor"/>
      </rPr>
      <t>P</t>
    </r>
    <r>
      <rPr>
        <vertAlign val="subscript"/>
        <sz val="11"/>
        <color theme="1"/>
        <rFont val="Calibri"/>
        <family val="2"/>
        <scheme val="minor"/>
      </rPr>
      <t>2</t>
    </r>
  </si>
  <si>
    <t>C(C1(C(C(C(O1)(COP([O-])([O-])=O)O)O)O))OP([O-])([O-])=O</t>
  </si>
  <si>
    <t>D-glucono-1_5-lactone</t>
  </si>
  <si>
    <r>
      <t>C</t>
    </r>
    <r>
      <rPr>
        <vertAlign val="subscript"/>
        <sz val="11"/>
        <color theme="1"/>
        <rFont val="Calibri"/>
        <family val="2"/>
        <scheme val="minor"/>
      </rPr>
      <t>6</t>
    </r>
    <r>
      <rPr>
        <sz val="11"/>
        <color theme="1"/>
        <rFont val="Calibri"/>
        <family val="2"/>
        <scheme val="minor"/>
      </rPr>
      <t>H</t>
    </r>
    <r>
      <rPr>
        <vertAlign val="subscript"/>
        <sz val="11"/>
        <color theme="1"/>
        <rFont val="Calibri"/>
        <family val="2"/>
        <scheme val="minor"/>
      </rPr>
      <t>10</t>
    </r>
    <r>
      <rPr>
        <sz val="11"/>
        <color theme="1"/>
        <rFont val="Calibri"/>
        <family val="2"/>
        <scheme val="minor"/>
      </rPr>
      <t>O</t>
    </r>
    <r>
      <rPr>
        <vertAlign val="subscript"/>
        <sz val="11"/>
        <color theme="1"/>
        <rFont val="Calibri"/>
        <family val="2"/>
        <scheme val="minor"/>
      </rPr>
      <t>6</t>
    </r>
  </si>
  <si>
    <t>C(O)C1(OC(C(C(C1O)O)O)=O)</t>
  </si>
  <si>
    <t>HCO3</t>
  </si>
  <si>
    <r>
      <t>HCO</t>
    </r>
    <r>
      <rPr>
        <vertAlign val="subscript"/>
        <sz val="11"/>
        <color theme="1"/>
        <rFont val="Calibri"/>
        <family val="2"/>
        <scheme val="minor"/>
      </rPr>
      <t>3</t>
    </r>
  </si>
  <si>
    <t>C([O-])(=O)O</t>
  </si>
  <si>
    <t>myell_rRNA</t>
  </si>
  <si>
    <t>Maintenance_leak</t>
  </si>
  <si>
    <t>proton_external</t>
  </si>
  <si>
    <t>4.3.1.17</t>
  </si>
  <si>
    <t>1 methanethiol + 1 O2 + 1 H2O = 1 formaldehyde + 1 H2S + 1 H2O2</t>
  </si>
  <si>
    <t>5-methyl-tetrahydrofolate</t>
  </si>
  <si>
    <t>acetate_ext</t>
  </si>
  <si>
    <t>CMP</t>
  </si>
  <si>
    <t>myell_protein</t>
  </si>
  <si>
    <t>myell_protein_ext</t>
  </si>
  <si>
    <t>myell_rRNA_ext</t>
  </si>
  <si>
    <r>
      <t>C</t>
    </r>
    <r>
      <rPr>
        <vertAlign val="subscript"/>
        <sz val="11"/>
        <color theme="1"/>
        <rFont val="Calibri"/>
        <family val="2"/>
        <scheme val="minor"/>
      </rPr>
      <t>9</t>
    </r>
    <r>
      <rPr>
        <sz val="11"/>
        <color theme="1"/>
        <rFont val="Calibri"/>
        <family val="2"/>
        <scheme val="minor"/>
      </rPr>
      <t>H</t>
    </r>
    <r>
      <rPr>
        <vertAlign val="subscript"/>
        <sz val="11"/>
        <color theme="1"/>
        <rFont val="Calibri"/>
        <family val="2"/>
        <scheme val="minor"/>
      </rPr>
      <t>12</t>
    </r>
    <r>
      <rPr>
        <sz val="11"/>
        <color theme="1"/>
        <rFont val="Calibri"/>
        <family val="2"/>
        <scheme val="minor"/>
      </rPr>
      <t>N</t>
    </r>
    <r>
      <rPr>
        <vertAlign val="subscript"/>
        <sz val="11"/>
        <color theme="1"/>
        <rFont val="Calibri"/>
        <family val="2"/>
        <scheme val="minor"/>
      </rPr>
      <t>3</t>
    </r>
    <r>
      <rPr>
        <sz val="11"/>
        <color theme="1"/>
        <rFont val="Calibri"/>
        <family val="2"/>
        <scheme val="minor"/>
      </rPr>
      <t>O</t>
    </r>
    <r>
      <rPr>
        <vertAlign val="subscript"/>
        <sz val="11"/>
        <color theme="1"/>
        <rFont val="Calibri"/>
        <family val="2"/>
        <scheme val="minor"/>
      </rPr>
      <t>8</t>
    </r>
    <r>
      <rPr>
        <sz val="11"/>
        <color theme="1"/>
        <rFont val="Calibri"/>
        <family val="2"/>
        <scheme val="minor"/>
      </rPr>
      <t>P</t>
    </r>
  </si>
  <si>
    <r>
      <t>C</t>
    </r>
    <r>
      <rPr>
        <vertAlign val="subscript"/>
        <sz val="11"/>
        <color theme="1"/>
        <rFont val="Calibri"/>
        <family val="2"/>
        <scheme val="minor"/>
      </rPr>
      <t>3</t>
    </r>
    <r>
      <rPr>
        <sz val="11"/>
        <color theme="1"/>
        <rFont val="Calibri"/>
        <family val="2"/>
        <scheme val="minor"/>
      </rPr>
      <t>H</t>
    </r>
    <r>
      <rPr>
        <vertAlign val="subscript"/>
        <sz val="11"/>
        <color theme="1"/>
        <rFont val="Calibri"/>
        <family val="2"/>
        <scheme val="minor"/>
      </rPr>
      <t>5</t>
    </r>
    <r>
      <rPr>
        <sz val="11"/>
        <color theme="1"/>
        <rFont val="Calibri"/>
        <family val="2"/>
        <scheme val="minor"/>
      </rPr>
      <t>O</t>
    </r>
    <r>
      <rPr>
        <vertAlign val="subscript"/>
        <sz val="11"/>
        <color theme="1"/>
        <rFont val="Calibri"/>
        <family val="2"/>
        <scheme val="minor"/>
      </rPr>
      <t>3</t>
    </r>
  </si>
  <si>
    <t>CC(C([O-])=O)O</t>
  </si>
  <si>
    <r>
      <t>C</t>
    </r>
    <r>
      <rPr>
        <vertAlign val="subscript"/>
        <sz val="11"/>
        <color theme="1"/>
        <rFont val="Calibri"/>
        <family val="2"/>
        <scheme val="minor"/>
      </rPr>
      <t>7</t>
    </r>
    <r>
      <rPr>
        <sz val="11"/>
        <color theme="1"/>
        <rFont val="Calibri"/>
        <family val="2"/>
        <scheme val="minor"/>
      </rPr>
      <t>H</t>
    </r>
    <r>
      <rPr>
        <vertAlign val="subscript"/>
        <sz val="11"/>
        <color theme="1"/>
        <rFont val="Calibri"/>
        <family val="2"/>
        <scheme val="minor"/>
      </rPr>
      <t>9</t>
    </r>
    <r>
      <rPr>
        <sz val="11"/>
        <color theme="1"/>
        <rFont val="Calibri"/>
        <family val="2"/>
        <scheme val="minor"/>
      </rPr>
      <t>NO</t>
    </r>
    <r>
      <rPr>
        <vertAlign val="subscript"/>
        <sz val="11"/>
        <color theme="1"/>
        <rFont val="Calibri"/>
        <family val="2"/>
        <scheme val="minor"/>
      </rPr>
      <t>5</t>
    </r>
  </si>
  <si>
    <t xml:space="preserve"> CC(=O)NC(C([O-])=O)CCC(=O)[O-] </t>
  </si>
  <si>
    <r>
      <t>C</t>
    </r>
    <r>
      <rPr>
        <vertAlign val="subscript"/>
        <sz val="11"/>
        <color theme="1"/>
        <rFont val="Calibri"/>
        <family val="2"/>
        <scheme val="minor"/>
      </rPr>
      <t>7</t>
    </r>
    <r>
      <rPr>
        <sz val="11"/>
        <color theme="1"/>
        <rFont val="Calibri"/>
        <family val="2"/>
        <scheme val="minor"/>
      </rPr>
      <t>H</t>
    </r>
    <r>
      <rPr>
        <vertAlign val="subscript"/>
        <sz val="11"/>
        <color theme="1"/>
        <rFont val="Calibri"/>
        <family val="2"/>
        <scheme val="minor"/>
      </rPr>
      <t>9</t>
    </r>
    <r>
      <rPr>
        <sz val="11"/>
        <color theme="1"/>
        <rFont val="Calibri"/>
        <family val="2"/>
        <scheme val="minor"/>
      </rPr>
      <t>NO</t>
    </r>
    <r>
      <rPr>
        <vertAlign val="subscript"/>
        <sz val="11"/>
        <color theme="1"/>
        <rFont val="Calibri"/>
        <family val="2"/>
        <scheme val="minor"/>
      </rPr>
      <t>8</t>
    </r>
    <r>
      <rPr>
        <sz val="11"/>
        <color theme="1"/>
        <rFont val="Calibri"/>
        <family val="2"/>
        <scheme val="minor"/>
      </rPr>
      <t>P</t>
    </r>
  </si>
  <si>
    <t>CC(=O)NC(C([O-])=O)CCC(=O)OP([O-])(=O)[O-]</t>
  </si>
  <si>
    <r>
      <t>C</t>
    </r>
    <r>
      <rPr>
        <vertAlign val="subscript"/>
        <sz val="11"/>
        <color theme="1"/>
        <rFont val="Calibri"/>
        <family val="2"/>
        <scheme val="minor"/>
      </rPr>
      <t>7</t>
    </r>
    <r>
      <rPr>
        <sz val="11"/>
        <color theme="1"/>
        <rFont val="Calibri"/>
        <family val="2"/>
        <scheme val="minor"/>
      </rPr>
      <t>H</t>
    </r>
    <r>
      <rPr>
        <vertAlign val="subscript"/>
        <sz val="11"/>
        <color theme="1"/>
        <rFont val="Calibri"/>
        <family val="2"/>
        <scheme val="minor"/>
      </rPr>
      <t>10</t>
    </r>
    <r>
      <rPr>
        <sz val="11"/>
        <color theme="1"/>
        <rFont val="Calibri"/>
        <family val="2"/>
        <scheme val="minor"/>
      </rPr>
      <t>NO</t>
    </r>
    <r>
      <rPr>
        <vertAlign val="subscript"/>
        <sz val="11"/>
        <color theme="1"/>
        <rFont val="Calibri"/>
        <family val="2"/>
        <scheme val="minor"/>
      </rPr>
      <t>4</t>
    </r>
  </si>
  <si>
    <t>CC(=O)NC(C([O-])=O)CC[CH]=O</t>
  </si>
  <si>
    <r>
      <t>C</t>
    </r>
    <r>
      <rPr>
        <vertAlign val="subscript"/>
        <sz val="11"/>
        <color theme="1"/>
        <rFont val="Calibri"/>
        <family val="2"/>
        <scheme val="minor"/>
      </rPr>
      <t>7</t>
    </r>
    <r>
      <rPr>
        <sz val="11"/>
        <color theme="1"/>
        <rFont val="Calibri"/>
        <family val="2"/>
        <scheme val="minor"/>
      </rPr>
      <t>H</t>
    </r>
    <r>
      <rPr>
        <vertAlign val="subscript"/>
        <sz val="11"/>
        <color theme="1"/>
        <rFont val="Calibri"/>
        <family val="2"/>
        <scheme val="minor"/>
      </rPr>
      <t>14</t>
    </r>
    <r>
      <rPr>
        <sz val="11"/>
        <color theme="1"/>
        <rFont val="Calibri"/>
        <family val="2"/>
        <scheme val="minor"/>
      </rPr>
      <t>N</t>
    </r>
    <r>
      <rPr>
        <vertAlign val="subscript"/>
        <sz val="11"/>
        <color theme="1"/>
        <rFont val="Calibri"/>
        <family val="2"/>
        <scheme val="minor"/>
      </rPr>
      <t>2</t>
    </r>
    <r>
      <rPr>
        <sz val="11"/>
        <color theme="1"/>
        <rFont val="Calibri"/>
        <family val="2"/>
        <scheme val="minor"/>
      </rPr>
      <t>O</t>
    </r>
    <r>
      <rPr>
        <vertAlign val="subscript"/>
        <sz val="11"/>
        <color theme="1"/>
        <rFont val="Calibri"/>
        <family val="2"/>
        <scheme val="minor"/>
      </rPr>
      <t>3</t>
    </r>
  </si>
  <si>
    <t>CC(=O)NC(CCC[N+])C(=O)[O-]</t>
  </si>
  <si>
    <r>
      <t>C</t>
    </r>
    <r>
      <rPr>
        <vertAlign val="subscript"/>
        <sz val="11"/>
        <color theme="1"/>
        <rFont val="Calibri"/>
        <family val="2"/>
        <scheme val="minor"/>
      </rPr>
      <t>20</t>
    </r>
    <r>
      <rPr>
        <sz val="11"/>
        <color theme="1"/>
        <rFont val="Calibri"/>
        <family val="2"/>
        <scheme val="minor"/>
      </rPr>
      <t>H</t>
    </r>
    <r>
      <rPr>
        <vertAlign val="subscript"/>
        <sz val="11"/>
        <color theme="1"/>
        <rFont val="Calibri"/>
        <family val="2"/>
        <scheme val="minor"/>
      </rPr>
      <t>23</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6</t>
    </r>
  </si>
  <si>
    <t>CN2(C(CNC1(=C(C(=O)NC(N)=N1)2))CNC3(C=CC(C(=O)NC(C(=O)[O-])CCC([O-])=O)=CC=3))</t>
  </si>
  <si>
    <t>L-Cysteine + NH3 + 2-Oxobutyrate + Proton = Cystathionine + H2O</t>
  </si>
  <si>
    <t xml:space="preserve">C1(C(CC(C([O-])=O)=O)=CC=C(C=1)O) </t>
  </si>
  <si>
    <t xml:space="preserve">C(C2(C(C(C(N1(C(N=C(C=C1)N)=O))O2)O)O))OP([O-])([O-])=O </t>
  </si>
  <si>
    <t>1 O2 + 1 p-hydroxyphenylpyruvate + 1 Proton + NADH = 1 4-hydroxyphenylacetate + 1 CO2 + 1 H2O + NAD</t>
  </si>
  <si>
    <t>pur_CMP</t>
  </si>
  <si>
    <t xml:space="preserve">2 ATP + 1 CMP = 2 ADP + 1 CTP </t>
  </si>
  <si>
    <t>{'A': 28946, 'C': 4250, 'E': 37450, 'D': 21944, 'G': 29544, 'F': 25380, 'I': 53293, 'H': 6901, 'K': 44526, 'M': 9800, 'L': 51142, 'N': 27070, 'Q': 10181, 'P': 18055, 'S': 32714, 'R': 20705, 'T': 21352, 'W': 4647, 'V': 31815, 'Y': 22983, 'X': 882}</t>
  </si>
  <si>
    <t>Program finished successfully.</t>
  </si>
  <si>
    <t>X</t>
  </si>
  <si>
    <t>Glutamate</t>
  </si>
  <si>
    <t>Aspartate</t>
  </si>
  <si>
    <t>Amino acid distribution, expressed as percent of total sequence:</t>
  </si>
  <si>
    <t>Total # of Amino acids 503580</t>
  </si>
  <si>
    <t>Total # of proteins: 2012</t>
  </si>
  <si>
    <t>All input files processed...onto results!</t>
  </si>
  <si>
    <t>Peptide count</t>
  </si>
  <si>
    <t>rRNA nucleotide requirement</t>
  </si>
  <si>
    <t>percent</t>
  </si>
  <si>
    <t>U</t>
  </si>
  <si>
    <t>Total</t>
  </si>
  <si>
    <t>&gt;2504813573 16S rRNA. Bacterial SSU [YNP_08_cren1 (8 best scaffolds) : scf1118686596894] (+)strand</t>
  </si>
  <si>
    <t>&gt;2504813573 16S rRNA. Bacterial SSU</t>
  </si>
  <si>
    <t>rRNA nucleotide requirement - based on translated DNA sequence (A=&gt;T, U=&gt;A, C=&gt;G, G=&gt;C)</t>
  </si>
  <si>
    <t>&gt;2504813574 23S rRNA. Bacterial LSU</t>
  </si>
  <si>
    <t>&gt;2504813574 23S rRNA. Bacterial LSU [YNP_08_cren1 (8 best scaffolds) : scf1118686596894] (+)strand</t>
  </si>
  <si>
    <t>Length</t>
  </si>
  <si>
    <t>Anys</t>
  </si>
  <si>
    <t>Guanine</t>
  </si>
  <si>
    <t>Cytosine</t>
  </si>
  <si>
    <t>Thymine</t>
  </si>
  <si>
    <t>Adenoside</t>
  </si>
  <si>
    <t>RNA count</t>
  </si>
  <si>
    <t>%T</t>
  </si>
  <si>
    <t>%A</t>
  </si>
  <si>
    <t>scf1118686594971</t>
  </si>
  <si>
    <t>%C</t>
  </si>
  <si>
    <t>scf1118686596256</t>
  </si>
  <si>
    <t>%G</t>
  </si>
  <si>
    <t>scf1118686596770</t>
  </si>
  <si>
    <t>scf1118686595655</t>
  </si>
  <si>
    <t>GC%</t>
  </si>
  <si>
    <t>scf1118686594903</t>
  </si>
  <si>
    <t>scf1118686596619</t>
  </si>
  <si>
    <t>G+C</t>
  </si>
  <si>
    <t>scf1118686596892</t>
  </si>
  <si>
    <t>A+T</t>
  </si>
  <si>
    <t>scf1118686596894</t>
  </si>
  <si>
    <t>Anys (N)</t>
  </si>
  <si>
    <t>Guanine (G)</t>
  </si>
  <si>
    <t>Cytosine (C)</t>
  </si>
  <si>
    <t>Thymine (T)</t>
  </si>
  <si>
    <t>Adenoside (A)</t>
  </si>
  <si>
    <t>DNA count</t>
  </si>
  <si>
    <t>ATP per 1kg of Biomass</t>
  </si>
  <si>
    <t>calculated for 1kg of BIOMASS</t>
  </si>
  <si>
    <t>Amino</t>
  </si>
  <si>
    <t>Polysacc</t>
  </si>
  <si>
    <t>Lipid</t>
  </si>
  <si>
    <t>RNA</t>
  </si>
  <si>
    <t>% cell comp. by mass</t>
  </si>
  <si>
    <t>g/unit</t>
  </si>
  <si>
    <t>Overall Biomass Coefficients</t>
  </si>
  <si>
    <t>H20</t>
  </si>
  <si>
    <t>Amino acid</t>
  </si>
  <si>
    <t>Polysacch.</t>
  </si>
  <si>
    <r>
      <t>C</t>
    </r>
    <r>
      <rPr>
        <vertAlign val="subscript"/>
        <sz val="11"/>
        <color indexed="8"/>
        <rFont val="Calibri"/>
        <family val="2"/>
      </rPr>
      <t>10</t>
    </r>
    <r>
      <rPr>
        <sz val="11"/>
        <color theme="1"/>
        <rFont val="Calibri"/>
        <family val="2"/>
        <scheme val="minor"/>
      </rPr>
      <t>H</t>
    </r>
    <r>
      <rPr>
        <vertAlign val="subscript"/>
        <sz val="11"/>
        <color indexed="8"/>
        <rFont val="Calibri"/>
        <family val="2"/>
      </rPr>
      <t>12</t>
    </r>
    <r>
      <rPr>
        <sz val="11"/>
        <color theme="1"/>
        <rFont val="Calibri"/>
        <family val="2"/>
        <scheme val="minor"/>
      </rPr>
      <t>N</t>
    </r>
    <r>
      <rPr>
        <vertAlign val="subscript"/>
        <sz val="11"/>
        <color indexed="8"/>
        <rFont val="Calibri"/>
        <family val="2"/>
      </rPr>
      <t>5</t>
    </r>
    <r>
      <rPr>
        <sz val="11"/>
        <color theme="1"/>
        <rFont val="Calibri"/>
        <family val="2"/>
        <scheme val="minor"/>
      </rPr>
      <t>O</t>
    </r>
    <r>
      <rPr>
        <vertAlign val="subscript"/>
        <sz val="11"/>
        <color indexed="8"/>
        <rFont val="Calibri"/>
        <family val="2"/>
      </rPr>
      <t>7</t>
    </r>
    <r>
      <rPr>
        <sz val="11"/>
        <color theme="1"/>
        <rFont val="Calibri"/>
        <family val="2"/>
        <scheme val="minor"/>
      </rPr>
      <t>P</t>
    </r>
  </si>
  <si>
    <t>dGMP</t>
  </si>
  <si>
    <r>
      <t>C</t>
    </r>
    <r>
      <rPr>
        <vertAlign val="subscript"/>
        <sz val="11"/>
        <color indexed="8"/>
        <rFont val="Calibri"/>
        <family val="2"/>
      </rPr>
      <t>9</t>
    </r>
    <r>
      <rPr>
        <sz val="11"/>
        <color theme="1"/>
        <rFont val="Calibri"/>
        <family val="2"/>
        <scheme val="minor"/>
      </rPr>
      <t>H</t>
    </r>
    <r>
      <rPr>
        <vertAlign val="subscript"/>
        <sz val="11"/>
        <color indexed="8"/>
        <rFont val="Calibri"/>
        <family val="2"/>
      </rPr>
      <t>12</t>
    </r>
    <r>
      <rPr>
        <sz val="11"/>
        <color theme="1"/>
        <rFont val="Calibri"/>
        <family val="2"/>
        <scheme val="minor"/>
      </rPr>
      <t>N</t>
    </r>
    <r>
      <rPr>
        <vertAlign val="subscript"/>
        <sz val="11"/>
        <color indexed="8"/>
        <rFont val="Calibri"/>
        <family val="2"/>
      </rPr>
      <t>3</t>
    </r>
    <r>
      <rPr>
        <sz val="11"/>
        <color theme="1"/>
        <rFont val="Calibri"/>
        <family val="2"/>
        <scheme val="minor"/>
      </rPr>
      <t>O</t>
    </r>
    <r>
      <rPr>
        <vertAlign val="subscript"/>
        <sz val="11"/>
        <color indexed="8"/>
        <rFont val="Calibri"/>
        <family val="2"/>
      </rPr>
      <t>7</t>
    </r>
    <r>
      <rPr>
        <sz val="11"/>
        <color theme="1"/>
        <rFont val="Calibri"/>
        <family val="2"/>
        <scheme val="minor"/>
      </rPr>
      <t>P</t>
    </r>
  </si>
  <si>
    <t>dCMP</t>
  </si>
  <si>
    <r>
      <t>C</t>
    </r>
    <r>
      <rPr>
        <vertAlign val="subscript"/>
        <sz val="11"/>
        <color indexed="8"/>
        <rFont val="Calibri"/>
        <family val="2"/>
      </rPr>
      <t>10</t>
    </r>
    <r>
      <rPr>
        <sz val="11"/>
        <color theme="1"/>
        <rFont val="Calibri"/>
        <family val="2"/>
        <scheme val="minor"/>
      </rPr>
      <t>H</t>
    </r>
    <r>
      <rPr>
        <vertAlign val="subscript"/>
        <sz val="11"/>
        <color indexed="8"/>
        <rFont val="Calibri"/>
        <family val="2"/>
      </rPr>
      <t>13</t>
    </r>
    <r>
      <rPr>
        <sz val="11"/>
        <color theme="1"/>
        <rFont val="Calibri"/>
        <family val="2"/>
        <scheme val="minor"/>
      </rPr>
      <t>N</t>
    </r>
    <r>
      <rPr>
        <vertAlign val="subscript"/>
        <sz val="11"/>
        <color indexed="8"/>
        <rFont val="Calibri"/>
        <family val="2"/>
      </rPr>
      <t>2</t>
    </r>
    <r>
      <rPr>
        <sz val="11"/>
        <color theme="1"/>
        <rFont val="Calibri"/>
        <family val="2"/>
        <scheme val="minor"/>
      </rPr>
      <t>O</t>
    </r>
    <r>
      <rPr>
        <vertAlign val="subscript"/>
        <sz val="11"/>
        <color indexed="8"/>
        <rFont val="Calibri"/>
        <family val="2"/>
      </rPr>
      <t>8</t>
    </r>
    <r>
      <rPr>
        <sz val="11"/>
        <color theme="1"/>
        <rFont val="Calibri"/>
        <family val="2"/>
        <scheme val="minor"/>
      </rPr>
      <t>P</t>
    </r>
  </si>
  <si>
    <r>
      <t>C</t>
    </r>
    <r>
      <rPr>
        <vertAlign val="subscript"/>
        <sz val="11"/>
        <color indexed="8"/>
        <rFont val="Calibri"/>
        <family val="2"/>
      </rPr>
      <t>10</t>
    </r>
    <r>
      <rPr>
        <sz val="11"/>
        <color theme="1"/>
        <rFont val="Calibri"/>
        <family val="2"/>
        <scheme val="minor"/>
      </rPr>
      <t>H</t>
    </r>
    <r>
      <rPr>
        <vertAlign val="subscript"/>
        <sz val="11"/>
        <color indexed="8"/>
        <rFont val="Calibri"/>
        <family val="2"/>
      </rPr>
      <t>12</t>
    </r>
    <r>
      <rPr>
        <sz val="11"/>
        <color theme="1"/>
        <rFont val="Calibri"/>
        <family val="2"/>
        <scheme val="minor"/>
      </rPr>
      <t>N</t>
    </r>
    <r>
      <rPr>
        <vertAlign val="subscript"/>
        <sz val="11"/>
        <color indexed="8"/>
        <rFont val="Calibri"/>
        <family val="2"/>
      </rPr>
      <t>5</t>
    </r>
    <r>
      <rPr>
        <sz val="11"/>
        <color theme="1"/>
        <rFont val="Calibri"/>
        <family val="2"/>
        <scheme val="minor"/>
      </rPr>
      <t>O</t>
    </r>
    <r>
      <rPr>
        <vertAlign val="subscript"/>
        <sz val="11"/>
        <color theme="1"/>
        <rFont val="Calibri"/>
        <family val="2"/>
        <scheme val="minor"/>
      </rPr>
      <t>6</t>
    </r>
    <r>
      <rPr>
        <sz val="11"/>
        <color theme="1"/>
        <rFont val="Calibri"/>
        <family val="2"/>
        <scheme val="minor"/>
      </rPr>
      <t>P</t>
    </r>
  </si>
  <si>
    <t>dAMP</t>
  </si>
  <si>
    <t>mol/unit</t>
  </si>
  <si>
    <t>g/mol</t>
  </si>
  <si>
    <t>Species</t>
  </si>
  <si>
    <t>Unit</t>
  </si>
  <si>
    <t>{'A': 46225, 'C': 5153, 'E': 55267, 'D': 35219, 'G': 57590, 'F': 32144, 'I': 49960, 'H': 11494, 'K': 47270, 'M': 18530, 'L': 85106, 'N': 27612, 'Q': 17493, 'P': 33009, 'S': 53950, 'R': 48994, 'T': 38000, 'W': 9062, 'V': 70095, 'Y': 30497, 'X': 1}</t>
  </si>
  <si>
    <t>Total # of Amino acids 772671</t>
  </si>
  <si>
    <t>Total # of proteins: 3356</t>
  </si>
  <si>
    <t>CGGACTCGATCGCTATAGGGGTAGGGCTAAGCCATGGGAGTCGTACGCTC
TCGGGAAGAGGGCGTGGCGGACGGCTGAGTAACACGTGGCTAACCTGCCC
TTGGGATCCGGATAACCCCGGGAAACTGGGGCTAATCCGGAATAGGTAAG
GGGCTCTGGAACGACTCCTTGCCTAAAGGCCCCTCGGCTGATCCCGTCGG
GGGGCGCCCAAGGATGGGGCTGCGGCCCATCAGGCTGTTGGCGGGGTAAA
GGCCCGCCAAACCGATAACGGGTAGGGGCCGTGGGAGCGGGAGCCCCCAG
TTGGGCACTGAGACAAGGGCCCAGGCCCTACGGGGCGCACCAGGCGCGGA
ACGTCCCCAATGCGGGAAACCGTGAGGGCGTTACCCCTAGTGCCCTCGCA
AGAGGGCTTTTCCCCACTTTAGAACGGTGGGGGAATAAGCGGGGGGCAAG
ACTGGTGTCAGCCGCCGCGGTAATACCAGCCCCGCGAGTGATCGAGACGT
TTATTGGGCTTAAAGCGCCCGTAGCCGGCCCGTAAAGTCACCGTTTAAAG
ACCCGAGCTCAACTCGGGGAGTGGCGGTGATACTTACGGGCTAGGGGGCG
GGAAAGGTCGGAGGTACTCCCGGAGTAGGGGCGAAATCCTCAGATCCCGG
GAGGACCACCAGTGGCGAAAGCGTCCGGCTAGAACGCGCCCGACGGTGAG
GGGCGAAAGCCGGGGTAGCAAAAGGGATTAGATACCCCTGTAGTCCCGGC
TGTAAACGATGCGGGCTAGGTGTCGCGTGGGCTTTGAGCCCACGCGGTGC
CGCAGGAAAACTGGTAAGCCCGCCGCCTGGGGAGTACGGCCGCAAGGCTG
AAACTTAAAGGAATTGGCGGGGGAGCACCACAAGGGGTGGAACCTGCGGC
TCAATTGGAGTCAACGCCTGGAATCTCACCGGGGGAGACCGCAGGATGAC
GGCCAGGCTAACGACCTTGCCAGACTCGCGGAGAGGAGGTGCATGGCCGT
CGCCAGCTCGTGTTGTGAAATGTCCGGTTAAGTCCGGCAACGAGCGAGAC
CCCCACTTCTAGTTGGTAGCCGTCCCTCCGGGGATGGCCCACACTAGAAG
GACTGCCGGTGTTAAACCGGAGGAAGGAGGGGGCCACGGCAGGTCAGCAT
GCCCCGAAACCTCCGGGCCGCACGCGGGTTACAATGGCAGGGACAGCGGG
ATCCGACCCCGAAAGGGGAAGGCAATCCCACAAACCCTGCCTCAGTTGGG
ATCGAGGGCTGAAACTCGCCCTCGTGAACGAGGAATCCCTAGTAACCGCG
GGTCAACAACCCGCGGTGAATACGTCCCTGCTCCTTGCACACACCGCCCG
TCGCTCCACCCGAGTGGAGGAGAAGTGAGGCCTCT</t>
  </si>
  <si>
    <t>&gt;2508724569 16S rRNA. Bacterial SSU [Metallosphaera sp. MK1 : MetMK1DRAFT_MMQ.19] (+)strand</t>
  </si>
  <si>
    <t>AGGGACGGGAAACCGTCCGGTGGATGGCTCGGCTCGGGAGCCGACGAAGG
GCGCGGCAAGCGGCGAAATGCCTGGGGGAGGCGCAAGCAGCCTTCGATCC
CAGGATCCCCTAATGGGACTTCCCACCCGGCGCCAAAAGTGTCGGGTTAA
GCTCCGGTGTCTCACCGGAGCGGGAACCCCCCGAACGGAAGCATCTTAGT
AGGGGGAGGAGGAGAAATCAATTGAGATTCCCTGAGTAGGGGCGACCGAA
AGGGGAACAGCCCAAACCAAACCCGCTGTCGATGAGGCAGTGGGGATGTG
GTGTTTCTGGCCCTGAACCTGGGGCAACCCGGCTCTCCTAACCCGCATAG
CCGAACTCACCTGGAATGGTGGGCCACAGAGGGTGATAGCCCCGTAGGCG
AAATGCGGGTGGAGGGCGGTTCAGGGCAGAGTACTATCCCCTAGTTTGGG
GGTAGGAAGATGGGGGACACGTGCCTCCAAGGCTAAATACTACCCGAGAC
CGATAGCGAACTTAGTACCGTGAGGGAAAGCTGAAAAGAACCCCGGGAGG
GGAGTGAAAAGAGCCTGAAACCGGACGGTCACAGAGGGTAGGGCCCGAAA
GGGCTGACTCCCCCCGAAGGGAAGGGGTGCGAGCCCTGAGTACGAGGGGG
GTGACCGGGGTCCTACCATTCGTCTTGAAACACGGGCCGGGGAGTTCACG
CTGGTGGCGAGCCTAAGGCGTTCAACGCCGAAGGCGTAGGGAAACCGAGG
ATCCGCAACCCGGGCGACCGGGTGAGGGATCGGGTCTGTCAGGGCCTTGA
GTCACCGGTGTGAGACTAGAAACCGGGCGATCTAGACCAGGGCAGGCCGA
AGCCGGGGGAAACCTCGGTGGAGGGCCGAATAGGGGTTCTGACGTGCAAT
TCGTTCCCTTGACCCTGGTCTAGGGGCAAAAGACCAATCTAGCCCGGTGA
TATCTAGTTCCCTCCGAAATGCGTCCTAGCGCAGCCTCCCTGGAGGTTGC
TCGTGGGGTAGAGTTACTGATTGGGGGCCTCTGGCGAAAGCCAGAGGAAC
TCAGTCAAACTCCGAACCTGCGGGCACCAGAGAAGGGGGGAGTGGATCAC
CCGGCGTAAGGTTGGGTGGTAAGAGGGGAACAACCCAGACCCGGGTTAAG
GTCCCTAAGTGCTGGCTAAGTGCCAATCAGAAAGGGCGTCCCATGCCTTA
GACAGCGGGGAGGTGGGCCCAGCAGCAGCCATCCTCTAAGGAGTGCGTAA
CAGCTCACCCGCCGAGGCCTGGGGCCCTGCAGATTGGTCGGGGCTCAAGC
CAGCCACCGATACCCGGGGGGTGGTACCCTATGGGTGCCGCTCGGTAGGG
GGGCGCCACGGTGGGCCAGAAGGCGGGCCGTGAGGTCCGCTGGACCCTCC
GCGGGTGCAGATCCCGGCGGCAGTAATAGCGAAGGAGGGTGAGAATCCCT
CCCGCCGAAAGGGCAAGGGTTTCCCGGCAATGGTCGTCAGCCGGGAGTTA
GCCGGTCCTAAGGCAGGGCCTAACTGGTACCTGCCGAAAGGGAAAGGGGT
TAATATTCCCCTGCCACGGAGGTAGGTGCGGTAACGCCAGGGGGATCTCC
TGACGGATCGGGGTAGGGAGAGTGGGGTTGTCGCCCCACCCAAGTGTACC
GAAGTCCCTGGAGAGCCGTAATGGTGAGAAGGGGACGGAAGCTCGATGGG
CCTTCCGTTAGGAGGGTTCTCCTGATCCCTGGTCCCCATGAAAAGGGAGA
TCTCAGCGATCCTCCGTGACCGTACCGAGAACCGACACTGGTGCCCCTGG
GTGAGAAGCCCAAGGCGTCTGGGGGGTAACTCAGGCTAGGGAACTCGGCA
AATTGGTCCCGTACCTTCGGAAGAAGGGATGCCTACCATCGTAGTGAACC
TGCGGTGGTAGGTCGCAGAGACCAGGGGGATCTGACTATTTAATAAAAAT
ATAGGTCCCCGCTAGCCCGAAAGGGTGTGAACGGGGGCTAAATCCTGGCC
ACTGGCGGTCGGTTAAACCCGGGTCCAACCGGGCGAAGCCCCGCTGAAGG
CCGGGGGTAACTCTGACCCTCTCAAGGTAGCCAAATGCCTTGCCGGGCAA
GTTCCGGCGTGCATGAATGGATCAACGTGATCCCCACTGTCCCAGCCTGG
GGCCCCATGACCGCCCAGAGTGGGTTCACAGTCCCGCAACCCCTCACACC
GAGAGAAGACCCCGTGGAGCTTCACCGCAGCCTGGCGCTGGTTCTCGGGC
GCCTATGCGTAGAGTAGGTGGGAGGCGTCGAAGCCGTCCCTTCGGGGGCG
GTGGAGCCGAAGGTGAAACACCACCCATGGGTGCTCGGGAACCTAACCTC
TTCGGGGGACAACGTCAGGTGGGCGGTTCGGCTGGGGCGGCACTCCCGCG
AAAATGTAACACGGGAGCCCAAAGGTCAGCTCAGGCGGTACAGAACGCCG
CCGTAGAGTGCAAGGGCAAAAGCTGGCCTGACGAGACCCTTCAAGGTACG
GGGTCTCGGCGCGAAAGCGCGGCCTAGCGAACGCTCGTGCCCCCACACGT
GGGGGCCGGGCATGACAGAAAAGTTACCCCGGGGATAACAGGGTCGTCGC
GGGCGAGAGCTCCCATCGACCCCGCGGTTTGCTACATCGATGTCGGCTCT
TCCCACCCTGGAGGTGCAGCTGCCTCCAAGGGTAGGGCTGCCCGCCCGTT
AAAGGGGAACGTGAGCTGGGTTTAGACCGTCGCGAGACAGGTCGGACTCT
AAGGGTGAGGGGTGCACGCTGCCTGAGGGGAAGGTACTCCTAGTACGAGA
GGAACAGGGTATCGGGGCCTCTAGTCTGCCGGTTGTCCGACAGGGCAACG
CCGGGCAGCCACGCCCTGTGGGGTAACCGCTGAAAGCATCTAAGCGGGAA
CCCCTCCCCGAAAAGAGGCAGCGGTGCGTGACGGCCGAAAGGTTGTCACG
CGGGAGCCCTCCCCAAGAACAGGGGGTTGATGGGGTGGGGGTGTAAGTCC
CGAGGGCGAAAGTCCGAGGGGCTCAGCCTGCCACTCCCAATAGGGCGAGT
CCA</t>
  </si>
  <si>
    <t>&gt;2508724570 23S rRNA. Bacterial LSU [Metallosphaera sp. MK1 : MetMK1DRAFT_MMQ.19] (+)strand</t>
  </si>
  <si>
    <t>        DNA A+T number of bases</t>
  </si>
  <si>
    <t>        DNA G+C number of bases</t>
  </si>
  <si>
    <t>DNA, total number of bases</t>
  </si>
  <si>
    <t xml:space="preserve"> + </t>
  </si>
  <si>
    <t xml:space="preserve"> = </t>
  </si>
  <si>
    <t xml:space="preserve"> L-Alanine</t>
  </si>
  <si>
    <t xml:space="preserve"> L-Cysteine</t>
  </si>
  <si>
    <t xml:space="preserve"> L-Aspartate</t>
  </si>
  <si>
    <t xml:space="preserve"> L-Glutamate</t>
  </si>
  <si>
    <t xml:space="preserve"> L-Phenylalanine</t>
  </si>
  <si>
    <t xml:space="preserve"> Glycine</t>
  </si>
  <si>
    <t xml:space="preserve"> L-Histidine</t>
  </si>
  <si>
    <t xml:space="preserve"> L-Isoleucine</t>
  </si>
  <si>
    <t xml:space="preserve"> L-Lysine</t>
  </si>
  <si>
    <t xml:space="preserve"> L-Leucine</t>
  </si>
  <si>
    <t xml:space="preserve"> L-Methionine</t>
  </si>
  <si>
    <t xml:space="preserve"> L-Asparagine</t>
  </si>
  <si>
    <t xml:space="preserve"> L-Proline</t>
  </si>
  <si>
    <t xml:space="preserve"> L-Glutamine</t>
  </si>
  <si>
    <t xml:space="preserve"> L-Arginine</t>
  </si>
  <si>
    <t xml:space="preserve"> L-Serine</t>
  </si>
  <si>
    <t xml:space="preserve"> L-Threonine</t>
  </si>
  <si>
    <t xml:space="preserve"> L-Valine</t>
  </si>
  <si>
    <t xml:space="preserve"> L-Tryptophan</t>
  </si>
  <si>
    <t xml:space="preserve"> L-Tyrosine</t>
  </si>
  <si>
    <t xml:space="preserve"> ATP</t>
  </si>
  <si>
    <t xml:space="preserve"> GTP</t>
  </si>
  <si>
    <t xml:space="preserve"> H2O</t>
  </si>
  <si>
    <t xml:space="preserve"> AMP</t>
  </si>
  <si>
    <t xml:space="preserve"> GDP</t>
  </si>
  <si>
    <t xml:space="preserve"> peptide_biomass</t>
  </si>
  <si>
    <t xml:space="preserve"> Phosphate</t>
  </si>
  <si>
    <t xml:space="preserve"> Proton</t>
  </si>
  <si>
    <t xml:space="preserve"> dATP</t>
  </si>
  <si>
    <t xml:space="preserve"> dTTP</t>
  </si>
  <si>
    <t xml:space="preserve"> dCTP</t>
  </si>
  <si>
    <t xml:space="preserve"> dGTP</t>
  </si>
  <si>
    <t xml:space="preserve"> DNA</t>
  </si>
  <si>
    <t xml:space="preserve"> PPi</t>
  </si>
  <si>
    <t xml:space="preserve"> UTP</t>
  </si>
  <si>
    <t xml:space="preserve"> CTP</t>
  </si>
  <si>
    <t>1 myell_rRNA</t>
  </si>
  <si>
    <t>1 myell_protein</t>
  </si>
  <si>
    <t>1.6.5.3</t>
  </si>
  <si>
    <t>NADH:ubiquinone oxidoreductase subunit 3 (chain A)</t>
  </si>
  <si>
    <t>cren1_8best_scaffolds_00002230</t>
  </si>
  <si>
    <t xml:space="preserve">MFEFIPLAIALIVSAIIAVAMVIINYLLVPPSPKDEIRFSPYECGEEVIG
EAQVRMNVQYYVYGIAYLITDILAVIVIIWAFYQYNFTLESFVALAFLAF
SMLFGVFYTIKKGLLRWV
</t>
  </si>
  <si>
    <t xml:space="preserve">ATGTTTGAGTTTATTCCTTTGGCAATTGCCCTAATAGTTTCGGCTATAAT
AGCTGTGGCAATGGTTATAATAAATTACTTATTGGTACCACCTTCGCCGA
AGGATGAAATTAGATTTTCTCCCTATGAATGTGGGGAAGAAGTAATAGGT
GAGGCGCAAGTTAGAATGAATGTTCAGTATTATGTGTATGGAATAGCTTA
TCTAATTACCGATATTTTAGCTGTTATTGTAATAATATGGGCATTTTATC
AGTATAATTTCACATTGGAAAGTTTTGTTGCTTTGGCTTTCTTAGCTTTT
TCAATGCTTTTTGGTGTGTTTTATACAATTAAAAAAGGTCTTTTAAGATG
GGTATAA
</t>
  </si>
  <si>
    <t>NADH-quinone oxidoreductase, B subunit</t>
  </si>
  <si>
    <t>cren1_8best_scaffolds_00002220</t>
  </si>
  <si>
    <t>MGINNIFQDLRIKIVDPKKLSFVDKLLVWSRRNSLWLLVFGIKCCAIEDL
MVPGASNYDFERFGVLPRNSPRQCDLMIITGPITHKMAQPLRTLYEQMAE
PRYVIATGECSICGGPWKGMYSVVDGADQIIPVDVYIPGCPPKPESLLEG
IIKLEEKILKGEVRKKFLPPSGVPKLKADWRS</t>
  </si>
  <si>
    <t>ATGGGTATAAACAATATTTTCCAAGACCTTAGGATAAAAATAGTAGATCC
AAAGAAATTATCATTCGTTGATAAATTGCTTGTGTGGAGCAGAAGGAATT
CACTCTGGCTTCTAGTTTTTGGTATTAAGTGTTGTGCAATAGAAGATTTA
ATGGTTCCTGGAGCATCAAATTACGATTTTGAAAGATTTGGAGTGCTACC
AAGAAACAGTCCTAGGCAGTGTGATTTGATGATAATTACAGGTCCAATAA
CGCATAAAATGGCCCAACCTTTAAGGACTTTGTATGAACAAATGGCTGAG
CCAAGATATGTTATAGCTACTGGAGAGTGTTCAATCTGTGGAGGTCCTTG
GAAAGGGATGTATAGCGTTGTTGATGGTGCTGATCAGATTATTCCAGTTG
ACGTTTATATTCCAGGATGTCCTCCTAAGCCTGAATCACTTCTTGAAGGA
ATAATAAAACTTGAAGAGAAAATATTGAAGGGAGAGGTAAGGAAAAAATT
CTTACCTCCATCAGGTGTTCCAAAACTTAAAGCTGACTGGAGAAGCTGA</t>
  </si>
  <si>
    <t>NADH:ubiquinone oxidoreductase 27 kD subunit</t>
  </si>
  <si>
    <t>cren1_8best_scaffolds_00002210</t>
  </si>
  <si>
    <t xml:space="preserve">MPELSVDDIKKVLPYAEVYKIYKNKFYAKIPKEYWQDSAKKLKEAGFSLL
VAVTGIDRQTHMEVNFICRRPEANGLIIVGTQIDRRDPRIPTLVNIWTGA
HFHERETFDLLGIYFEGNPDLRRILLPEDWVGHPLRKDYKW
</t>
  </si>
  <si>
    <t xml:space="preserve">ATGCCTGAATTATCCGTTGATGATATAAAGAAGGTATTGCCTTATGCAGA
GGTTTACAAAATATATAAGAATAAGTTTTATGCAAAGATTCCAAAAGAAT
ACTGGCAAGATTCTGCCAAAAAATTGAAAGAAGCTGGTTTCTCATTGCTT
GTAGCTGTGACCGGAATAGATAGACAAACACATATGGAAGTTAACTTTAT
ATGTAGAAGGCCTGAAGCAAACGGGCTAATTATAGTAGGAACTCAGATAG
ATAGAAGGGATCCAAGGATACCTACTTTGGTTAATATCTGGACTGGTGCT
CATTTTCATGAGAGAGAAACCTTTGATTTGCTTGGTATCTACTTTGAAGG
CAATCCTGACCTTAGAAGAATACTCCTTCCAGAAGATTGGGTTGGTCATC
CGTTGAGGAAAGATTACAAATGGTAG
</t>
  </si>
  <si>
    <t>NADH:ubiquinone oxidoreductase 49 kD subunit 7</t>
  </si>
  <si>
    <t>cren1_8best_scaffolds_00002200</t>
  </si>
  <si>
    <t>MVAYQKSEKKESSDIRTLTINVGPQHPSTHGPMDIVVTIEGETIIGADVK
LGYIHRGIEKLCELRNYFQIPVYLNRLCYVSGMFWEYGFVKAVEEIMNQK
VPERAEWLRVIACELTRIASHMIFFASFGADVGNLTLYSWGIRDRDRIID
VLELMSGQRMTFGYFRVGGVRYDVPVGFEENIEKSLRYVESHLRDYERLT
VENPVFIARTENIILADSSKALDLGWTGPLLRATGLKRDLRRDEPYSVYD
AIDFEIPVGKRGSVLDTFYVRIEEVKQSINIIRQAVKRIPSGPFQHRALL
YPPPGIGYAHVEDSRGECGYMIVSDGTPKPYRVKIRSPAYVHVMSLPYIL
KGLRLADLYAVIGAIDPCLGEIDR</t>
  </si>
  <si>
    <t xml:space="preserve">ATGGTAGCATATCAAAAATCTGAAAAGAAGGAATCTAGTGATATAAGAAC
TCTTACTATAAATGTAGGACCTCAGCATCCGAGTACACATGGTCCTATGG
ACATTGTAGTAACCATTGAAGGAGAAACAATCATAGGTGCAGACGTAAAG
CTTGGCTATATACATAGAGGTATTGAGAAGCTCTGTGAATTGAGAAACTA
TTTCCAAATACCCGTCTATCTTAACAGACTTTGCTATGTAAGTGGTATGT
TTTGGGAGTACGGATTTGTCAAAGCGGTTGAAGAAATAATGAACCAAAAG
GTCCCTGAAAGAGCAGAATGGTTAAGGGTAATAGCATGCGAATTAACAAG
GATCGCAAGCCATATGATATTTTTTGCATCTTTTGGTGCAGATGTTGGGA
ACTTAACACTATACTCATGGGGGATAAGAGATAGGGATAGAATAATTGAT
GTTTTAGAGTTGATGAGCGGTCAAAGGATGACATTCGGATATTTCAGAGT
AGGAGGAGTAAGATACGATGTTCCTGTCGGCTTCGAAGAAAACATAGAAA
AATCATTAAGATATGTTGAATCACATTTAAGGGATTATGAAAGACTTACT
GTTGAAAATCCCGTGTTTATTGCAAGGACAGAAAATATAATACTTGCTGA
CTCTTCAAAAGCCTTAGATCTAGGTTGGACAGGTCCATTGTTAAGAGCTA
CAGGTCTTAAGAGAGATTTAAGAAGAGATGAACCATACTCAGTTTACGAC
GCAATAGATTTCGAAATTCCTGTAGGAAAAAGAGGAAGTGTATTGGATAC
ATTTTATGTAAGAATTGAAGAAGTTAAGCAAAGTATTAATATAATAAGGC
AAGCTGTTAAAAGAATTCCTTCAGGACCTTTCCAGCATAGAGCATTGTTA
TATCCTCCACCGGGGATTGGATATGCCCATGTTGAGGATTCAAGGGGTGA
GTGTGGCTACATGATAGTAAGTGATGGAACACCTAAACCTTATAGGGTAA
AGATAAGGAGTCCAGCCTATGTCCATGTAATGAGCTTACCTTACATTTTA
AAGGGGTTAAGATTAGCTGATTTATATGCTGTTATTGGAGCGATAGATCC
ATGTCTGGGAGAAATAGATAGATAA
</t>
  </si>
  <si>
    <t>NADH:ubiquinone oxidoreductase subunit 1 (chain H)</t>
  </si>
  <si>
    <t>cren1_8best_scaffolds_00002190</t>
  </si>
  <si>
    <t>MNFNLTLDPFLYDLFRTTVAIVIAIVFVLVNVIIFIYLERKIWARSMQRM
GPTYVGKWGSLQLVADLIKLIAKEIIIPSKANRIAFLLLPILVAIVSLMI
AIILPYDYVVFKTLLIFMPLFPSITFLNNFIVSNSFTAGLFIIYVILGLN
PILILLAGWVSNNKYTVVGGFRAAAQLLSFEIPLLIVVASVIILTNTLDL
YKIVEFQQKVWLIELAPLAFVLFIIVSLAEGERTPFDIPDAESEIIAGWN
TEYSAIPFGLLLMGMYARAFYSATLVAILFFGGWLGPELPGFLEPFSGPF
WLMIKTYFFVILFIIIRAAFPRFRIDQLLSLNWAKLLPLSIVNLILVVIA
KYIVISAGLIT</t>
  </si>
  <si>
    <t xml:space="preserve">ATGAATTTCAACCTAACCTTGGATCCATTCTTATATGATCTATTCAGGAC
AACGGTCGCTATTGTGATTGCAATAGTTTTCGTCCTTGTTAACGTGATAA
TATTCATCTATCTAGAGAGAAAAATATGGGCAAGATCAATGCAAAGAATG
GGTCCTACTTATGTAGGGAAATGGGGTAGTTTGCAATTAGTAGCAGATTT
GATAAAGCTTATTGCAAAGGAAATAATAATTCCTTCAAAAGCCAATCGAA
TAGCTTTTCTGCTTTTACCAATTTTAGTTGCAATTGTATCTTTGATGATA
GCTATTATATTACCATACGATTATGTTGTTTTCAAAACTTTGCTAATCTT
CATGCCTTTATTTCCTTCAATAACTTTCTTGAATAATTTCATAGTATCGA
ATTCTTTTACCGCTGGTCTCTTTATAATTTATGTTATTCTAGGATTAAAT
CCAATTTTGATTTTGCTTGCAGGATGGGTAAGTAATAATAAGTATACTGT
TGTAGGGGGTTTCAGAGCTGCAGCGCAATTATTAAGTTTTGAAATTCCTC
TTTTGATCGTTGTAGCCTCAGTTATAATTCTTACAAACACTTTGGATTTG
TATAAAATAGTTGAGTTTCAGCAAAAAGTTTGGCTTATCGAATTAGCCCC
ATTAGCTTTTGTACTTTTCATAATAGTTTCACTAGCTGAGGGTGAGAGAA
CACCTTTTGATATTCCTGATGCAGAAAGCGAGATAATAGCAGGATGGAAC
ACTGAATATAGCGCAATTCCATTTGGCCTACTTTTAATGGGGATGTATGC
AAGAGCTTTTTATAGTGCAACGTTGGTAGCTATTTTATTCTTTGGAGGAT
GGTTAGGCCCAGAATTGCCAGGATTTTTAGAACCTTTTTCAGGACCTTTT
TGGCTAATGATAAAGACTTACTTCTTTGTAATACTTTTCATTATAATAAG
GGCTGCGTTTCCTAGATTTAGAATTGACCAGCTTCTTAGCCTAAATTGGG
CTAAACTACTTCCATTATCTATAGTTAACTTAATATTAGTAGTAATAGCA
AAGTATATTGTAATAAGCGCAGGATTGATAACATGA
</t>
  </si>
  <si>
    <t>Formate hydrogenlyase subunit 6/NADH:ubiquinone oxidoreductase 23 kD subunit (chain I)</t>
  </si>
  <si>
    <t>cren1_8best_scaffolds_00002180</t>
  </si>
  <si>
    <t>MSKLKRYLNYIYRIVYGSLISTYAATKYLFLRRPTIEYPTQTIQFTERYR
GALEVDDNLCIGCGICAKVCPNTCIFMVPYEKGNPAMIPEIDLQHCMYCG
LCVDYCPPGAIYHTHVVRIVGFKRSDLYLSQDKVTKVQELEYK</t>
  </si>
  <si>
    <t>ATGAGTAAACTAAAACGTTATCTTAACTACATTTATAGGATAGTATATGG
ATCGTTGATTTCGACCTATGCTGCTACAAAATATTTGTTTCTGAGGAGAC
CTACAATTGAATATCCTACCCAAACTATCCAATTTACTGAAAGATATAGA
GGTGCTTTAGAAGTTGATGATAACTTGTGTATAGGCTGCGGAATATGTGC
AAAAGTCTGCCCTAATACTTGTATATTCATGGTTCCATATGAAAAAGGAA
ATCCTGCAATGATTCCTGAAATTGATTTACAACATTGCATGTACTGTGGA
CTCTGTGTTGACTATTGTCCACCAGGAGCTATCTATCACACCCATGTTGT
AAGAATAGTAGGTTTCAAAAGATCAGATCTTTATTTATCACAGGATAAAG
TAACTAAGGTACAAGAACTAGAATATAAATGA</t>
  </si>
  <si>
    <t>NADH:ubiquinone oxidoreductase subunit 11 or 4L (chain K)</t>
  </si>
  <si>
    <t>cren1_8best_scaffolds_00002160</t>
  </si>
  <si>
    <t>MIDVLIAILVILPAFAIGVFGLLARRHFIRIIISVEIALNAVILTIGVFS
ALNGAMGEAIGIFILFIVAMEVAIGLAIAIQMDKVFQTVDIYATRKIKD</t>
  </si>
  <si>
    <t>ATGATAGATGTGCTTATTGCAATTTTAGTTATTTTACCTGCATTTGCAAT
AGGTGTATTTGGTCTTCTTGCAAGAAGACACTTTATAAGAATTATAATAT
CTGTTGAAATAGCACTCAACGCAGTTATACTCACAATTGGTGTTTTCTCA
GCTTTAAACGGGGCTATGGGAGAGGCTATTGGAATATTTATTTTATTTAT
CGTGGCAATGGAAGTTGCTATAGGACTTGCAATAGCAATCCAAATGGATA
AAGTTTTTCAAACAGTGGATATATACGCAACTAGGAAAATAAAGGATTAA</t>
  </si>
  <si>
    <t>proton-translocating NADH-quinone oxidoreductase, chain L</t>
  </si>
  <si>
    <t>cren1_8best_scaffolds_00010250</t>
  </si>
  <si>
    <t>MNSLVSLAWLIILSPVIASFIIFIIGRKLYSGGAYVAIGSSIVSLLLSLY
LLFNVPELSKGVVVEGYNLIPNFSVGNVTIEGISFSLFLDNLSVLTSLVV
AIVSTLIFIFSIEYMRNDPGIVRYFSEITFFVGSMEGLVLANNIILLFLF
WEFVGLASYLLIGFWYEREEVAAAAKKAFIVTRIADFFFLSGILLLWINL
GTLPTVDQILRGNYLNTISGLGLGVIVPLLFFTGAIGKSAQFPLHVWLPD
AMEGPTTVSALIHSATMVAAGAYLVARLYPLFEISYIDLLFIATIGGFTA
FFAGTMAIVSKDIKRILAYSTVSQLGYMMLGLGIGIPAYAIMHLYSHAFF
KALMFLSAGVIIHQLGTRNIFSMGGLSKTMRASYYGMLIGGLSLIAIPPF
SGFFTKDPIIEISYETNIYLFIFAYLGSLITAVYWFRLLQYTYFGEPHSE
KAKEEGHETIEEKIPIYVFIALVTIFGILMYAIDLPSFIGGSLLEFSSFS
IIFGTLMVLTSLAGIYIFYGYLRGFKPLKLIKESKIGSGIYYMLEKGYFF
DYAYEKIAIFLGWIAGEIMNIIDLKGIDGFVNYLADSTKKFGMSLKRMNS
GDIEQYLFIAFVMAIIIFTLSLII</t>
  </si>
  <si>
    <t>ATGAATAGTTTAGTAAGTCTAGCTTGGTTAATTATCTTATCTCCCGTCAT
TGCTTCCTTCATCATATTTATTATAGGGCGTAAGTTATACTCTGGTGGAG
CTTACGTTGCTATAGGTTCTTCGATAGTTTCTTTGTTATTATCATTATAC
CTGCTTTTCAACGTTCCTGAGCTTTCTAAGGGAGTAGTTGTAGAAGGATA
TAATCTTATTCCAAATTTTAGTGTAGGTAATGTAACAATAGAAGGAATTT
CTTTTTCGTTATTTTTGGATAATCTAAGCGTACTAACAAGTCTAGTGGTA
GCAATAGTAAGCACATTAATTTTTATATTTTCGATTGAATACATGCGCAA
TGATCCAGGAATCGTAAGATACTTTTCTGAAATAACCTTCTTTGTTGGTT
CAATGGAAGGGCTCGTTCTTGCAAATAACATTATTTTGCTTTTCCTTTTC
TGGGAGTTTGTGGGTTTAGCGTCATACTTACTAATAGGTTTTTGGTATGA
AAGAGAAGAAGTAGCTGCTGCGGCCAAAAAGGCTTTTATAGTTACGAGAA
TAGCTGATTTCTTCTTTCTATCAGGAATATTGTTGCTATGGATAAACTTA
GGAACTTTGCCAACAGTTGATCAGATATTAAGAGGAAATTACTTAAATAC
TATTTCAGGTTTAGGTCTGGGAGTAATTGTCCCACTTCTATTCTTCACAG
GAGCAATAGGTAAAAGTGCACAATTTCCTCTACATGTTTGGCTTCCTGAT
GCAATGGAAGGCCCTACAACTGTTAGCGCTCTTATACACTCTGCAACAAT
GGTTGCCGCAGGAGCCTACCTAGTTGCAAGGTTATATCCACTCTTTGAAA
TTTCTTATATTGACTTGCTTTTTATTGCCACAATAGGCGGGTTTACTGCA
TTCTTTGCAGGAACTATGGCGATAGTTTCAAAGGATATAAAAAGAATACT
AGCCTATTCTACAGTTAGTCAATTAGGTTATATGATGCTAGGATTGGGAA
TAGGAATACCTGCCTATGCAATAATGCATCTGTATTCGCATGCGTTTTTT
AAAGCTTTAATGTTTCTTTCAGCAGGAGTTATAATCCATCAGCTTGGAAC
AAGAAACATATTTTCAATGGGAGGGCTTTCAAAAACCATGCGCGCTTCTT
ATTATGGAATGCTTATAGGAGGACTAAGCTTAATTGCAATTCCTCCATTT
AGTGGTTTTTTTACAAAGGATCCAATAATTGAAATATCCTATGAAACCAA
CATTTATCTTTTCATATTTGCTTACCTTGGTTCCCTTATTACAGCTGTTT
ATTGGTTTAGATTACTACAATATACTTATTTTGGTGAACCGCATTCTGAA
AAGGCGAAAGAGGAAGGACATGAAACAATCGAAGAGAAGATTCCTATTTA
CGTATTTATTGCGTTAGTAACAATCTTTGGAATACTTATGTATGCGATAG
ATCTTCCTTCATTCATTGGTGGAAGTCTTCTAGAATTTTCAAGCTTTTCG
ATAATTTTTGGAACTTTAATGGTCCTTACAAGCTTAGCTGGAATTTACAT
ATTTTATGGGTATTTAAGAGGTTTCAAGCCTCTAAAACTAATTAAAGAAA
GCAAAATAGGTTCAGGAATTTACTACATGCTCGAAAAAGGTTACTTTTTT
GATTATGCATATGAAAAAATTGCAATCTTCCTTGGATGGATAGCTGGAGA
AATAATGAATATAATAGACCTAAAAGGAATAGATGGGTTTGTAAACTACC
TTGCTGATAGTACAAAGAAGTTTGGAATGAGCTTGAAAAGGATGAATAGT
GGAGATATTGAACAGTATTTATTCATAGCTTTTGTTATGGCAATCATAAT
ATTTACATTAAGCTTGATAATATGA</t>
  </si>
  <si>
    <t>proton-translocating NADH-quinone oxidoreductase, chain M</t>
  </si>
  <si>
    <t>cren1_8best_scaffolds_00010240</t>
  </si>
  <si>
    <t>MNLEESLLFWIIIIPIIGGILSLVPRRKISFSIALATNLVLTFFSAYLWY
NFLIYKKPIIINIEIPPFTPIKSSYYLYGDALSLSLTLLTTIIMIFVTLS
SVFEIKSLVNVYNSLTLITETGILGTFLARDFIFFFIFWETVLIPMFFLI
ELWGGPRRSYAAIKFLIFTHIGSVIMLLGIFVGYAYVTHSFSFDSYYSLI
PYSSQFIQSLFFITFYIAFAIKMPIPPFHTWLPDAHVEAPSPISVVLAGL
LLKMGGYGMLRITYPMDVNFANSIFPLISLLAAISAAYISYVAMVQRDLR
XXXXXXXPMVQRDLKRMIAYSSITQMSLTLLAISTSFYILSSNAALSKLL
YSASVFIMISHAFIVGSLFLLAGIILERTGTRDIPSLQGLNKLMPKFAIS
LTLSSLGEMGLPSTSGFIAELLVFSGIIPYLLKSPLFLALSILVILAVAI
TTGYFLQMMKRILFGKYNGNRKIEDASIYEIMNPILLMIISIILGLMPFL
ILNGFV</t>
  </si>
  <si>
    <t xml:space="preserve">ATGAACTTGGAAGAAAGCCTGCTATTTTGGATAATTATAATACCAATAAT
AGGGGGTATCTTATCTCTAGTACCTAGGAGAAAAATATCCTTTTCGATTG
CACTTGCAACAAACCTGGTATTAACGTTCTTTTCTGCATATCTTTGGTAC
AATTTTCTGATCTACAAAAAACCGATAATTATTAATATTGAAATTCCTCC
TTTTACCCCAATCAAATCAAGCTACTATCTTTACGGAGATGCTCTAAGCC
TTTCACTCACTTTACTTACTACGATTATTATGATATTTGTTACATTATCA
TCTGTATTTGAGATAAAAAGCCTAGTTAATGTTTATAATTCGCTAACTCT
CATAACAGAAACGGGCATATTAGGAACATTCTTAGCAAGAGATTTCATAT
TCTTTTTCATATTTTGGGAAACAGTCCTCATACCTATGTTCTTCTTGATA
GAACTTTGGGGCGGTCCTAGAAGAAGTTATGCAGCAATCAAATTCCTAAT
TTTTACTCATATAGGAAGCGTGATAATGCTTTTAGGAATATTTGTAGGAT
ATGCTTATGTTACCCACAGCTTTTCCTTCGATAGCTATTACAGTTTAATT
CCCTATTCCTCACAATTTATACAGAGCTTATTTTTTATCACATTCTACAT
TGCTTTTGCTATAAAGATGCCGATACCCCCATTTCATACATGGCTACCTG
ATGCGCATGTAGAAGCACCTAGCCCAATAAGTGTAGTTTTAGCAGGCCTG
CTTTTGAAGATGGGGGGATACGGAATGCTAAGAATAACTTATCCAATGGA
TGTTAATTTTGCAAATTCTATATTTCCTTTAATTTCCTTACTAGCTGCAA
TCTCTGCAGCATACATAAGCTATGTAGCTATGGTTCAAAGGGATCTAAGG
GNNNNNNNNNNNNNNNNNNNNCCTATGGTTCAAAGGGATCTAAAGAGAAT
GATAGCTTACAGCAGTATTACTCAAATGAGCTTGACATTGTTAGCTATTT
CTACTTCGTTTTACATACTAAGTAGTAACGCTGCTTTATCGAAACTTCTT
TACTCAGCCTCAGTGTTTATAATGATCAGCCATGCATTTATTGTGGGCTC
ATTATTCTTGCTTGCAGGAATAATTTTAGAAAGAACTGGAACAAGGGATA
TTCCAAGTTTGCAAGGATTAAACAAGCTTATGCCAAAATTTGCAATCTCA
TTAACTTTATCTTCATTAGGAGAAATGGGATTGCCAAGCACAAGTGGGTT
CATCGCAGAACTTTTGGTTTTCTCAGGCATTATACCTTACCTACTCAAAA
GTCCATTATTCCTTGCACTTTCAATACTTGTAATACTTGCAGTAGCAATT
ACAACAGGATATTTCCTTCAAATGATGAAAAGAATCTTATTTGGAAAATA
CAACGGTAACAGAAAAATTGAAGACGCTTCAATCTATGAAATAATGAATC
CAATTCTTTTAATGATAATAAGCATAATTTTAGGTCTTATGCCCTTTTTG
ATTCTAAACGGATTTGTATAG
</t>
  </si>
  <si>
    <t>NADH:ubiquinone oxidoreductase subunit 2 (chain N)</t>
  </si>
  <si>
    <t>cren1_8best_scaffolds_00002150</t>
  </si>
  <si>
    <t xml:space="preserve">MPFHNLYQLAYALLPAFTIFLFSIIAAIVGLFKKYLIAKTISYASIVISL
SLIIYLISLNKTFFLYNGEIIVDRFSLIIWLSLIIGTAIALGSMELDLIS
KEALPLTLISLSLAMVAIVARDLLILFLAVEGSILPTYALVAQFKKDPFS
LEATVKYFIFGILATLLFVYGIAIIFGTIGSTNFAIIASKIKSSNLFLSV
LGFILILLSLAIKSTLVPLHTWAVDTYQGAPTSVTVFISTTSKMLGIAVI
ALLVAGPFNSMYSITTIYYVLVTFAILTLIVPNVIALTQKDTKRLLAYSS
IAHAGYMSLVYVFPNQTIFILGYYLITYSIAKAASFLVVRIITGESSNSP
YDALRGLFKQNSLVGLTFALSLLSLAGIPPFAGFMAKFLLFLSTALSSLL
GIVLALIALIMSGVSVYYYIVVLRIASLKPLGNGNKSLNSSFEKDFFLVL
VIMLLLILTFFPTYFYIPLPTVSYSSYT
</t>
  </si>
  <si>
    <t>ATGCCTTTTCATAATTTATATCAATTAGCTTACGCACTTTTACCAGCTTT
TACAATATTTCTATTCAGTATAATTGCAGCAATCGTTGGCTTATTTAAGA
AGTATTTAATCGCCAAGACTATTTCATACGCTTCAATTGTAATCTCTTTA
TCTCTTATTATCTATTTGATATCGTTAAACAAAACATTCTTTCTTTATAA
CGGCGAAATTATTGTTGATAGATTTTCTCTCATTATCTGGTTATCTTTAA
TCATAGGTACAGCTATAGCGTTGGGTTCAATGGAATTAGATCTTATTTCA
AAAGAAGCCTTACCTTTAACACTTATTTCTTTATCTTTAGCTATGGTTGC
TATAGTTGCAAGGGATCTTCTCATTCTCTTTTTAGCAGTTGAAGGAAGTA
TACTTCCAACCTACGCTCTTGTAGCGCAATTTAAAAAAGATCCTTTTTCT
TTGGAAGCCACGGTGAAATACTTTATTTTTGGGATATTGGCTACATTACT
TTTTGTATATGGGATCGCTATCATTTTTGGAACAATAGGGTCAACAAATT
TTGCTATTATAGCTAGCAAAATTAAAAGCTCGAATTTATTTCTCTCAGTT
TTAGGATTTATTTTAATCCTTCTTTCTTTAGCAATAAAATCAACCTTAGT
TCCTCTGCATACCTGGGCAGTTGATACCTACCAGGGAGCGCCTACAAGCG
TCACAGTCTTTATTTCAACAACTTCAAAAATGTTAGGAATTGCTGTAATT
GCTTTGCTTGTTGCAGGACCTTTCAATAGCATGTATAGCATTACGACGAT
TTACTACGTTCTTGTAACATTTGCTATTCTTACTTTAATAGTTCCCAATG
TAATTGCTCTTACTCAAAAGGATACTAAGAGGTTACTTGCGTATTCTTCG
ATTGCTCATGCGGGATACATGTCTCTAGTATACGTCTTTCCAAATCAAAC
AATTTTTATCCTAGGCTATTATTTAATAACTTACAGTATTGCTAAAGCTG
CCAGTTTCCTTGTTGTTAGAATTATAACAGGAGAATCAAGCAATAGTCCA
TATGATGCTTTAAGAGGATTATTCAAACAAAATTCTTTGGTAGGCTTAAC
TTTTGCTTTAAGTTTGTTGTCTTTGGCTGGAATACCACCTTTCGCAGGCT
TTATGGCAAAATTTTTATTGTTCCTATCCACAGCTCTTTCAAGTCTGCTT
GGGATAGTCTTAGCTTTAATAGCTTTAATAATGAGCGGTGTTTCTGTATA
TTATTACATAGTTGTATTAAGAATAGCTTCATTAAAGCCTTTAGGAAATG
GCAATAAAAGTTTAAATTCTAGTTTTGAGAAAGACTTTTTCTTAGTTCTA
GTCATTATGCTCCTGCTTATTCTTACATTCTTTCCTACCTACTTTTACAT
TCCGCTTCCAACAGTTAGTTATTCAAGTTATACCTAG</t>
  </si>
  <si>
    <t>1.10.2.2</t>
  </si>
  <si>
    <t>Cytochrome bd-type quinol oxidase, subunit 1</t>
  </si>
  <si>
    <t>1.10.3.10</t>
  </si>
  <si>
    <t>cren1_8best_scaffolds_00012720</t>
  </si>
  <si>
    <t xml:space="preserve">MLDPVTFDRLFFALSMAFHMIFVTITMGLSILVSIYELRYIKSKKIEYKV
LAKKLAKALVLSFAFGTASGTLIAFELFSLFPKFMAVASQVAILPFYVEV
FAFFLETIALIMYFYFWENFKNLYAHWFLSILVIIGTASSAILITMINAF
MNTPTGFNIANFISTGKITDVNPWAVFNGPSTWSEEYHVITTTYAAAGFM
MLAIFSYYYKKTKDRIAEIMKNGMKTSSIFAGISILLAGISGHFTELMLL
TEQPLKYAAIELNFYPATSNAPELIGGLYYNNSTYFYISIPNLQSLLAYF
PSGNGYLPGLYEYPASLWPPLYIHLTFDLMVFGGILLGIFALILFVSIIF
KKDIFNKRTIINGSIISGFLAMAVYDAGWVTNEVGRQPWIIYNVMTVEEA
ANVSSVIIPIGFSIMVFYLVSIPITILYILKILKVKVEEISNV
</t>
  </si>
  <si>
    <t>ATGTTAGACCCTGTTACGTTTGATAGGCTGTTCTTTGCTCTTTCAATGGC
TTTTCATATGATATTTGTTACTATTACGATGGGTCTTTCGATTCTTGTCT
CAATATATGAACTTAGGTATATTAAAAGTAAAAAGATAGAATATAAAGTA
TTAGCTAAAAAACTTGCTAAAGCACTTGTTCTATCTTTCGCGTTTGGAAC
AGCTAGCGGTACTTTGATTGCATTCGAACTATTTTCTTTATTCCCAAAAT
TTATGGCTGTAGCTAGTCAAGTAGCTATATTACCTTTTTATGTAGAAGTT
TTTGCGTTTTTCCTTGAAACAATAGCACTAATTATGTATTTCTATTTTTG
GGAAAATTTTAAAAATTTATATGCACATTGGTTCCTTTCAATTCTTGTAA
TCATAGGAACTGCTTCATCTGCAATATTAATAACTATGATAAATGCTTTT
ATGAACACACCAACAGGTTTTAACATTGCTAATTTTATATCAACAGGTAA
AATAACAGACGTTAACCCTTGGGCAGTATTTAACGGACCTTCTACATGGA
GCGAAGAATATCATGTAATTACAACAACATATGCAGCTGCAGGATTTATG
ATGCTAGCTATCTTTTCATATTATTACAAAAAAACCAAGGATAGAATTGC
TGAGATTATGAAAAACGGAATGAAAACATCTTCAATATTTGCAGGGATTT
CGATTCTCTTAGCAGGAATTAGTGGTCATTTTACTGAACTAATGTTACTT
ACTGAACAACCATTAAAATATGCAGCTATTGAATTGAACTTTTATCCTGC
TACTAGCAATGCTCCAGAATTAATAGGAGGATTATACTATAACAATTCAA
CTTATTTCTATATTTCAATACCCAACCTTCAGTCTTTATTAGCTTATTTT
CCCAGCGGAAATGGATACTTGCCAGGACTTTATGAATATCCTGCTAGCTT
ATGGCCACCTTTGTATATTCATTTAACATTCGATCTAATGGTTTTTGGTG
GTATTCTTTTGGGTATCTTTGCTTTAATATTATTCGTCTCTATAATCTTT
AAGAAAGATATTTTTAACAAAAGAACGATAATAAATGGCTCGATAATATC
AGGATTCTTAGCAATGGCAGTTTACGATGCAGGATGGGTTACCAATGAAG
TTGGAAGACAGCCATGGATAATTTACAATGTAATGACTGTAGAAGAAGCT
GCTAATGTATCAAGCGTTATTATACCAATAGGATTTAGTATAATGGTCTT
TTATTTAGTATCAATACCAATTACTATTTTGTATATTCTTAAGATTTTGA
AAGTTAAAGTAGAGGAAATTTCTAATGTATGA</t>
  </si>
  <si>
    <t>Heme/copper-type cytochrome/quinol oxidases, subunit 1</t>
  </si>
  <si>
    <t>cren1_8best_scaffolds_00014950</t>
  </si>
  <si>
    <t>MEEHKEAKFYKSWRTLFSTTHHTDIGILYIWFAFANFVAAGLAASTMRLQ
LGAFGPDAQLIPPQLYYSLVTLHGLAMVFFFIVPASVGIANYILPKMIGA
PDLYWPKINALAFWMLVPSAILFWSSLLFGYPDITWTLYPPWSVMNKDLA
VDVLLIGVLLNGISSVISAINFMMTVFRLRHPSIKISRLPLFVWAFVATI
ILMIVALPPFALGIVMLLFDRHWGTNFFVGQGDPLLWQNIFWFMGHPEVY
ILVLPAMGMVSEIIPRMAGRPIFGYKSVAMSSILIAFISYFVWVHHMFTT
PVGTTVTVFFMVSTLAVAVPTGIKVFNWVATLWGGRIRVCTPMVFALGFV
SIFIIGGITGVVQGLIPLDYAVHNTFYILGHFHLIVLPIAFAIIGTIYYF
FPFITGRMFSEKLSKVAFILMFVGVLGVYLPWLKVGLEGMPRRYYEYPPE
YYFWQNISTMFTVVLGIGLLIFFIDVLYSWRRGKPAKEDPWGATKIGLPE
FANVTPLLNLNGSAHEAHYPHPYAAFAGILSILAGIGSLLMLEGYLYLGG
YILALYAGYLLFWFYKDYISKSSKLATFLSSISLEKLERLKSSDAFIGTM
WFVLSESTIFGTAFLSYFYLRAMFPTWPPPGVTPVATGYVLINSIFLFAS
AFTMQFAYWGLTKGNMKRFKILLIVTLILGSIFIGGQIREYLTSGLSISD
GVYGGTFYLITGLHGFHVIVGLVFMAVILAKALKGYFTPERKAMVESATI
YWHFVDIVWIFVLSIVYFNLISPPLREVAHTYIWQS</t>
  </si>
  <si>
    <t xml:space="preserve">ATGGAAGAACATAAAGAAGCTAAGTTTTATAAAAGTTGGCGAACATTATT
CTCAACTACGCATCATACTGATATAGGAATATTATACATTTGGTTTGCCT
TCGCTAATTTCGTAGCTGCGGGATTGGCTGCATCAACGATGAGATTACAA
CTTGGAGCGTTTGGTCCTGATGCACAACTAATACCTCCTCAGCTCTACTA
TAGTTTAGTTACATTACATGGATTAGCGATGGTATTCTTCTTTATTGTTC
CAGCTTCTGTAGGAATAGCTAATTACATACTTCCAAAGATGATCGGAGCT
CCTGATTTGTATTGGCCAAAAATAAATGCTCTAGCTTTTTGGATGCTTGT
TCCTTCTGCAATATTATTCTGGTCAAGTTTATTATTCGGTTATCCTGACA
TAACATGGACACTTTATCCACCATGGTCTGTAATGAACAAAGATTTAGCT
GTTGATGTTCTATTAATAGGTGTACTTCTTAACGGTATATCTTCTGTGAT
AAGCGCAATTAACTTTATGATGACCGTGTTTAGATTAAGGCATCCTAGTA
TAAAAATAAGCAGGTTACCATTATTTGTTTGGGCTTTTGTTGCAACAATC
ATTTTAATGATTGTAGCTTTACCACCTTTTGCCTTAGGTATAGTAATGCT
TTTATTCGATAGACATTGGGGTACGAATTTCTTCGTAGGTCAAGGAGATC
CATTGCTTTGGCAAAATATATTTTGGTTTATGGGCCATCCAGAGGTTTAC
ATATTAGTTTTACCAGCAATGGGTATGGTAAGCGAAATTATTCCTAGGAT
GGCTGGAAGACCAATCTTTGGTTATAAGAGTGTTGCGATGTCTTCTATCT
TGATCGCATTTATATCCTATTTTGTTTGGGTTCATCATATGTTTACAACA
CCTGTAGGTACAACTGTAACAGTTTTCTTTATGGTTTCAACACTCGCGGT
TGCTGTTCCAACTGGTATTAAAGTATTCAATTGGGTAGCAACATTATGGG
GAGGTAGAATTAGAGTTTGTACTCCGATGGTTTTTGCTTTAGGATTCGTT
TCAATATTCATAATAGGAGGTATTACAGGTGTTGTTCAAGGATTAATTCC
ATTGGATTATGCTGTACACAATACATTTTATATACTTGGGCACTTCCACC
TTATTGTTTTGCCTATAGCTTTTGCAATTATTGGAACAATATACTATTTC
TTCCCCTTCATAACTGGCAGAATGTTTAGCGAGAAACTGAGCAAGGTTGC
CTTTATACTAATGTTTGTTGGTGTTTTGGGAGTTTATCTGCCATGGCTTA
AGGTAGGTCTTGAAGGAATGCCAAGAAGATACTATGAATATCCTCCTGAA
TATTATTTCTGGCAAAACATTTCTACAATGTTTACAGTTGTTCTAGGTAT
AGGACTTTTAATATTCTTCATTGATGTACTATATAGTTGGAGAAGAGGCA
AGCCTGCTAAGGAAGATCCATGGGGTGCTACTAAAATAGGCTTGCCAGAA
TTTGCAAATGTTACACCCTTACTTAATTTAAACGGTTCAGCACATGAAGC
TCACTATCCGCATCCATATGCAGCTTTCGCAGGAATTCTCTCAATTTTAG
CAGGTATAGGGAGTCTACTGATGCTTGAAGGATATTTATATCTTGGGGGA
TATATACTTGCTTTATATGCAGGATACTTACTTTTCTGGTTCTACAAAGA
TTATATAAGTAAATCTTCAAAGTTAGCAACATTCTTATCTAGTATATCCC
TAGAGAAATTAGAAAGGTTAAAGAGTTCCGACGCTTTCATTGGTACTATG
TGGTTTGTTCTTTCAGAATCAACAATATTCGGAACCGCTTTCTTATCGTA
TTTCTATTTAAGAGCAATGTTCCCAACATGGCCACCACCGGGTGTAACAC
CTGTAGCAACAGGCTATGTATTAATAAATTCAATATTCCTCTTTGCAAGC
GCCTTTACTATGCAGTTCGCATACTGGGGACTTACAAAGGGAAATATGAA
AAGATTCAAGATTTTACTTATTGTAACTTTAATATTAGGTAGTATATTCA
TTGGTGGACAAATAAGAGAATATTTAACGTCAGGCCTTTCAATATCTGAT
GGTGTTTATGGAGGCACTTTCTATCTTATAACAGGTCTTCACGGTTTCCA
CGTTATCGTTGGTTTAGTATTCATGGCTGTAATTTTGGCAAAAGCTCTTA
AAGGCTATTTTACTCCTGAAAGGAAAGCAATGGTAGAATCTGCAACAATT
TATTGGCACTTTGTAGACATTGTCTGGATATTCGTATTATCTATTGTATA
CTTTAACCTAATATCTCCACCATTAAGAGAAGTAGCGCATACATATATTT
GGCAGAGTTAA
</t>
  </si>
  <si>
    <t>Heme/copper-type cytochrome/quinol oxidases, subunit 2</t>
  </si>
  <si>
    <t>cren1_8best_scaffolds_00014940</t>
  </si>
  <si>
    <t xml:space="preserve">MSVMKKLEWVTIIGAIAIFIYLGTIAGILTYQLNTPQVAAQGDSNDNYIT
IKVIAQQFFWTFIYPNGTQSTVLHIKVNQLYKLEMQSKDVVHGFFIPSLG
YQFDVFPNYITVMYIRFTQPGTYPVYCAQYCGPGHYTMTTEIVVTD
</t>
  </si>
  <si>
    <t>ATGAGCGTGATGAAAAAACTTGAGTGGGTAACAATCATTGGAGCAATCGC
AATATTCATATATTTAGGAACAATCGCAGGAATTTTAACATATCAACTAA
ATACTCCACAGGTAGCTGCACAGGGAGATAGCAATGATAATTATATAACA
ATTAAAGTCATAGCGCAACAATTCTTCTGGACATTTATATATCCAAATGG
TACTCAATCTACTGTTTTGCATATAAAAGTTAATCAATTATACAAGTTAG
AAATGCAATCTAAGGATGTTGTGCATGGTTTCTTTATTCCTTCATTAGGC
TATCAATTTGATGTATTTCCAAATTATATAACTGTTATGTATATTCGATT
TACACAGCCTGGAACATATCCTGTATATTGTGCTCAGTATTGCGGACCTG
GTCATTATACAATGACAACTGAGATAGTTGTAACTGATTGA.</t>
  </si>
  <si>
    <t>1.9.3.1</t>
  </si>
  <si>
    <t>3.6.3.14</t>
  </si>
  <si>
    <t>ATP synthase archaeal, A subunit</t>
  </si>
  <si>
    <t>cren1_8best_scaffolds_00009660</t>
  </si>
  <si>
    <t>MSNYGRIVRVAGPVVTAEGLEGAKMFDVVKVGELNLIGEIIRIQGNKAMI
QVYEDTTGLRPGDVVINTGLPLSVELGPGLISSIFDGIQRPLDVIRAKAG
DFITRGILIPPLDESKKWDFKPTVKKGDEVETGSIIGEVQETPLIKHKIM
IPFGLRGKIKEIYEGNFTIRDPVAILTTKEGKDVEIFMSQKWRVRIPRPF
IRKLPPDIPLITGQRVIDTFFPVAKGGTACIPGPFGSGKTVTQQQLAKWS
DSNVIVYVGCGERGNEMTEVLTTFPKLTDPKSKRPLMERTILVANTSNMP
VAAREASIYTGITMAEYYRDMGYDVALMADSTSRWAEALREISGRLEEMP
GEEGYPAYLARRLAEFYERAGKVVVLSPDQRIGSVTIVGAVSPPGGDFSE
PVSQNTLRVTRVFWALDASLAGRRHFPAINWLTSYSLYAESLSDWYRKNV
AQDWPEIRNEALAILQKEAELQEIVQLVGYDALPEPEKGILDIGRMIRED
YLQQSAFDEVDTYCSIRKQYMILKSIIMFGKKELEAIKKGALASQVSSLP
VKEKISRLKWIPEEKVEKLFTEIFTEMDEQFNNLIQQVLLQQ</t>
  </si>
  <si>
    <t xml:space="preserve">ATGTCAAACTACGGAAGAATTGTACGTGTTGCAGGACCTGTAGTAACTGC
AGAAGGTTTGGAAGGGGCAAAAATGTTCGATGTAGTCAAAGTAGGAGAAC
TCAATTTAATCGGAGAGATAATAAGAATTCAAGGAAATAAGGCAATGATT
CAAGTTTATGAGGATACAACTGGTTTGAGACCTGGCGACGTTGTTATTAA
TACGGGGTTGCCTTTATCTGTTGAACTTGGACCTGGATTAATTTCTTCAA
TCTTTGATGGAATTCAAAGACCTTTAGACGTTATAAGGGCAAAAGCAGGA
GATTTTATAACAAGGGGAATTTTAATTCCTCCCCTAGATGAAAGTAAGAA
ATGGGATTTCAAGCCTACAGTTAAAAAAGGTGATGAAGTTGAAACTGGAT
CAATAATAGGAGAAGTTCAAGAAACACCTCTAATTAAACATAAAATAATG
ATTCCTTTTGGTTTGAGGGGTAAAATAAAGGAAATATATGAAGGAAATTT
CACCATAAGAGACCCTGTTGCAATATTAACTACAAAGGAGGGCAAAGATG
TAGAAATATTTATGTCACAGAAATGGAGGGTAAGAATTCCAAGACCTTTC
ATAAGAAAGCTCCCTCCAGATATTCCTTTAATAACGGGTCAAAGAGTTAT
TGATACGTTTTTCCCTGTAGCAAAAGGAGGTACAGCATGCATTCCAGGTC
CTTTTGGATCAGGCAAGACTGTTACACAACAACAACTTGCAAAATGGTCT
GATAGCAACGTAATAGTATATGTAGGGTGTGGAGAAAGAGGTAATGAAAT
GACGGAAGTTTTAACAACTTTTCCAAAGTTAACAGATCCTAAATCTAAAA
GACCCTTAATGGAAAGGACAATTCTTGTTGCGAACACTTCAAACATGCCC
GTAGCTGCAAGGGAGGCTAGCATATATACTGGTATAACAATGGCCGAATA
CTACAGAGACATGGGATATGATGTAGCTTTAATGGCAGATAGTACTTCAA
GATGGGCTGAAGCTTTAAGGGAAATTTCTGGTAGGCTTGAGGAAATGCCT
GGTGAGGAAGGATATCCTGCTTATCTTGCAAGAAGGCTAGCTGAATTCTA
TGAGCGTGCAGGGAAAGTTGTTGTTCTATCTCCAGATCAAAGAATAGGAT
CAGTTACCATCGTTGGAGCTGTTTCTCCTCCAGGAGGAGATTTTTCAGAA
CCCGTTTCACAGAATACTTTAAGAGTTACAAGGGTTTTCTGGGCTCTAGA
TGCAAGCTTAGCTGGTAGAAGACATTTCCCAGCCATCAATTGGTTAACGA
GCTATTCATTGTACGCAGAAAGTCTATCTGATTGGTACAGAAAAAATGTT
GCACAGGATTGGCCTGAAATCAGGAATGAAGCTTTGGCAATATTGCAAAA
GGAAGCTGAATTACAAGAAATTGTTCAATTGGTAGGCTACGATGCTCTTC
CTGAACCGGAAAAAGGTATTCTTGATATTGGTAGAATGATAAGGGAAGAT
TATTTGCAACAAAGTGCTTTCGATGAAGTTGATACATATTGTTCAATAAG
AAAGCAATACATGATTCTTAAGTCGATAATAATGTTTGGAAAGAAAGAAT
TGGAAGCAATAAAGAAGGGTGCTTTGGCTTCACAAGTTTCATCCTTACCT
GTTAAAGAAAAAATATCTAGACTTAAATGGATACCTGAAGAAAAAGTAGA
AAAATTGTTCACAGAGATCTTTACAGAAATGGACGAACAGTTTAATAACT
TAATACAACAAGTATTATTACAACAATGA
</t>
  </si>
  <si>
    <t>Archaeal/vacuolar-type H+-ATPase subunit B</t>
  </si>
  <si>
    <t>cren1_8best_scaffolds_00009670</t>
  </si>
  <si>
    <t>MIPVSYKSISQVTGPLLFVEKVKDAAYGEIVEITNALGERLRGQVLDTRE
DLAIVQVFGSTIGLDTKSTSVKFLGETLRISVSDEMLGRIFDGIGNPRDN
GPPIISKHKVDIVGSGINPYAREEPSEFIQTGISGIDGMNTLVRGQKLPI
FSGSGLPHNTLAAQIARQAKVLTTSESFYVVFAAIGITSEEANFFIREFQ
ETGSLERTVLFLNLSSDPSMERILTPRLALTTAEFLAYELESHVLVILTD
MTNYCEALREISAARNEVPGRRGYPGYMYTDLATIYERAGRIKGRKGSIT
QIPILTMPADDKTHPIPDLTGYITEGQIYLSRELERAGIYPPIDVLESLS
RLMNQGIGPGKTREDHRALADQLYSVYAQGKDIRALVAIVGEEALSETDR
KYLRIAEDFERRFINQGVMEDRSIEETLDLGWSILDPLSDSELKRIKPEL
IEKYRRKRRMMAEEKVQALT</t>
  </si>
  <si>
    <t>ATGATCCCCGTCTCTTACAAAAGTATTTCTCAGGTAACAGGACCACTTTT
ATTTGTTGAAAAAGTAAAGGATGCAGCCTACGGTGAAATAGTTGAAATAA
CGAATGCTTTGGGTGAGAGATTAAGGGGACAAGTACTTGATACAAGAGAA
GATCTTGCAATAGTTCAAGTATTTGGCTCTACTATAGGTTTGGATACAAA
ATCAACTTCTGTCAAATTCCTTGGAGAAACACTACGAATATCCGTATCAG
ATGAAATGTTAGGAAGAATTTTTGATGGGATAGGAAATCCTAGAGACAAT
GGTCCACCCATAATTTCAAAGCATAAGGTTGATATTGTAGGCTCAGGAAT
AAATCCATACGCCAGAGAAGAACCTTCAGAATTCATTCAAACTGGTATTT
CCGGTATAGATGGAATGAACACTCTTGTAAGAGGCCAAAAACTTCCAATT
TTCTCCGGTTCAGGTTTACCTCATAATACTTTAGCTGCACAAATAGCAAG
ACAAGCAAAGGTTCTTACCACTTCTGAAAGCTTTTATGTAGTTTTTGCTG
CAATAGGAATAACTAGCGAAGAAGCAAATTTCTTCATTAGAGAATTCCAA
GAAACAGGATCGCTTGAGAGAACAGTTTTATTCTTAAACTTATCTTCAGA
TCCTTCAATGGAAAGAATTCTTACACCTCGTTTGGCATTGACAACAGCCG
AATTCTTAGCATATGAGCTTGAAAGTCATGTGTTAGTTATTCTGACAGAC
ATGACAAACTATTGCGAAGCTTTGAGAGAAATATCTGCTGCAAGAAATGA
GGTTCCAGGAAGAAGAGGCTATCCTGGTTACATGTATACGGATCTTGCAA
CAATCTACGAAAGAGCTGGAAGAATAAAGGGAAGGAAGGGTTCTATAACT
CAAATACCTATATTGACAATGCCAGCTGATGATAAAACACATCCTATACC
TGATCTTACAGGGTACATAACAGAAGGTCAAATATATTTAAGCAGGGAGC
TTGAAAGAGCTGGAATTTATCCTCCTATAGATGTTCTTGAAAGTTTATCC
AGGCTAATGAATCAAGGAATAGGCCCAGGAAAAACTAGAGAAGACCACAG
AGCGTTGGCTGATCAACTTTATTCTGTTTACGCACAAGGAAAGGACATAA
GGGCTCTCGTAGCAATAGTAGGAGAAGAAGCTTTAAGCGAAACAGATAGA
AAATACTTAAGGATAGCTGAGGATTTCGAAAGGAGATTCATAAACCAAGG
AGTAATGGAAGATAGAAGCATAGAAGAAACTTTAGATTTGGGTTGGTCTA
TATTGGATCCCTTATCAGATTCGGAGTTGAAAAGGATAAAGCCTGAGTTG
ATTGAAAAATACAGAAGAAAAAGAAGAATGATGGCTGAAGAAAAAGTTCA
AGCTTTAACCTAA</t>
  </si>
  <si>
    <t>Archaeal/vacuolar-type H+-ATPase subunit C</t>
  </si>
  <si>
    <t>cren1_8best_scaffolds_00009640</t>
  </si>
  <si>
    <t xml:space="preserve">MSSLQYASALGRLKALSLNFLTREKLISLAKVKNVNEIAVELQSTWYREE
IEKASAAYKPPESVEIALNEHLMKMNRLCLNLMPYANNAIKFYLSKWDIQ
NIELIIAAKYMKNPLKESEKYFISPREIPVIFEGQLIPYADLKTMIELPD
IQSAVNYLVKFPHGPILMQNINEFIKTGDIGILSSALKKNYYEKLLWELR
FYRGDEGVLREFIRAEITKQNLISYAKSKIFKLSPEILSKHLIEGGLVST
NIFTDALSTENDEEIIKKVKDYFDLQQAFSKFHKNFDISEFEIELDKLIY
NAYLPRLRSFKVSLLFIFWFIIMNEVERLNIRRILYGKYYNLDESYIISI
II
</t>
  </si>
  <si>
    <t>ATGAGCAGTTTACAGTATGCTTCTGCTTTAGGTAGATTAAAGGCTCTCTC
TCTTAATTTTTTAACAAGGGAAAAACTGATTTCCTTAGCAAAGGTTAAGA
ATGTAAATGAAATAGCTGTTGAACTTCAATCTACATGGTATAGGGAGGAG
ATAGAAAAAGCTTCAGCCGCATATAAACCTCCTGAATCTGTTGAAATAGC
TTTGAACGAGCATCTAATGAAAATGAATAGGTTATGTCTTAATTTGATGC
CCTATGCAAATAATGCTATTAAGTTCTATCTTTCAAAGTGGGATATTCAA
AACATAGAACTGATAATAGCAGCAAAATATATGAAGAATCCTTTAAAAGA
ATCTGAAAAGTACTTTATTTCTCCAAGAGAAATTCCTGTAATATTTGAAG
GTCAATTGATTCCTTATGCCGATTTAAAGACCATGATCGAACTGCCAGAT
ATTCAATCTGCTGTAAACTATTTAGTAAAATTTCCACACGGTCCAATTTT
AATGCAAAATATAAACGAGTTCATAAAAACAGGCGATATAGGGATTCTTA
GTTCAGCTTTAAAAAAGAACTATTATGAAAAGCTTCTATGGGAACTTAGA
TTCTACAGAGGTGATGAAGGAGTATTAAGAGAATTCATCAGAGCTGAAAT
TACGAAGCAAAACTTGATTTCCTATGCAAAATCTAAAATTTTCAAACTCA
GTCCTGAGATTTTGTCTAAACATTTGATAGAAGGCGGCTTAGTTAGTACA
AACATTTTTACTGATGCGTTATCAACTGAAAATGATGAAGAAATAATAAA
AAAGGTTAAAGATTATTTTGATTTGCAGCAGGCCTTTAGCAAATTTCACA
AAAACTTCGATATAAGTGAGTTCGAAATTGAATTAGATAAATTGATTTAT
AATGCATATCTTCCAAGGTTAAGATCCTTTAAAGTATCTTTGCTTTTCAT
TTTTTGGTTCATAATCATGAACGAAGTTGAAAGATTAAACATACGTAGAA
TTTTATACGGAAAGTATTATAACTTGGATGAAAGCTATATAATATCAATT
ATAATATAA</t>
  </si>
  <si>
    <t>ATP synthase subunit C.</t>
  </si>
  <si>
    <t>cren1_8best_scaffolds_00009620</t>
  </si>
  <si>
    <t xml:space="preserve">MPVDPLIAIAAAIVMAGGLIGTGIAQQGIGAAGMGIIAEKPEKFGQVLFF
FVIPETLWIIGFVLGIILLLQIF
</t>
  </si>
  <si>
    <t>ATGCCCGTTGATCCTTTAATAGCGATAGCAGCTGCAATAGTAATGGCAGG
AGGTCTAATAGGAACTGGAATTGCGCAACAGGGTATAGGAGCAGCAGGTA
TGGGTATAATTGCTGAAAAACCTGAAAAATTCGGTCAAGTTTTATTCTTC
TTTGTAATTCCAGAAACACTTTGGATAATAGGTTTCGTCCTTGGTATAAT
ACTGTTGTTGCAGATATTCTAA</t>
  </si>
  <si>
    <t>H(+)-transporting ATP synthase, vacuolar type, subunit D</t>
  </si>
  <si>
    <t>cren1_8best_scaffolds_00009680</t>
  </si>
  <si>
    <t>MPRVFNVKPTRMEYLRTVRRIAIARKGLKLLKLKRQALILEFFNLSKKIA
ALRSELREKIIKGYEAVHKAEMLAGVLRIEYEAQRIPKLRKAKIRTKNVM
GVKLPELEVEETFKEASDFILELPPSITQVIMNFRDIHKSIIEVAEKETA
LRKLLIEIDKTKRRSNAIENILIPRLIATAKYIKLMFDEMERDNFVKLKF
VKTKVLER</t>
  </si>
  <si>
    <t>ATGCCGAGGGTATTCAACGTTAAGCCTACAAGGATGGAATATTTGAGAAC
AGTAAGAAGAATTGCTATAGCAAGGAAAGGTTTAAAGCTTTTAAAATTGA
AAAGGCAAGCTCTAATTCTTGAATTTTTCAATCTAAGCAAGAAGATAGCC
GCATTAAGAAGTGAATTAAGGGAAAAAATAATTAAAGGTTATGAAGCTGT
TCATAAAGCTGAAATGTTAGCAGGAGTTTTAAGAATTGAATATGAAGCCC
AACGAATTCCTAAGCTCAGAAAAGCCAAGATTAGAACTAAGAATGTAATG
GGTGTAAAGCTGCCTGAATTGGAAGTTGAGGAAACTTTTAAAGAAGCATC
AGATTTTATTCTTGAACTTCCTCCTTCAATAACACAAGTTATTATGAACT
TTAGGGATATTCACAAATCTATTATTGAAGTAGCTGAAAAAGAAACAGCT
TTGAGAAAACTTTTAATTGAAATAGATAAAACCAAAAGGAGATCCAATGC
TATAGAAAACATATTGATTCCAAGACTTATAGCTACAGCCAAATACATTA
AGCTAATGTTCGATGAAATGGAAAGAGATAACTTCGTTAAATTAAAGTTT
GTTAAAACAAAAGTATTAGAGAGATAG</t>
  </si>
  <si>
    <t>Archaeal/vacuolar-type H+-ATPase subunit F</t>
  </si>
  <si>
    <t>cren1_8best_scaffolds_00009650</t>
  </si>
  <si>
    <t xml:space="preserve">MSSQRLKQFVGNIAVVGERELVIGYRMLGVEDTYIVSKENASKIIQDLIN
SGKYSLIIISGEIRKMLHQSFVEKLESLLIPLVVFLPSTKEEEEEPLAEL
AKRILGVDILKRK
</t>
  </si>
  <si>
    <t>ATGAGTTCACAAAGACTTAAGCAATTTGTAGGAAATATCGCAGTAGTAGG
TGAAAGAGAATTAGTAATAGGCTATAGAATGCTGGGTGTTGAAGATACAT
ATATAGTTTCTAAGGAAAATGCATCAAAAATTATACAAGACTTAATAAAC
AGCGGAAAGTATTCATTAATAATAATCAGCGGTGAGATAAGAAAGATGCT
GCATCAAAGTTTTGTTGAAAAATTAGAGTCCCTTCTAATTCCTTTAGTAG
TATTCTTACCATCGACAAAAGAGGAGGAAGAGGAGCCTCTTGCAGAATTG
GCAAAAAGAATTTTAGGTGTTGATATATTAAAGAGGAAGTAA</t>
  </si>
  <si>
    <t>Archaeal/vacuolar-type H+-ATPase subunit I</t>
  </si>
  <si>
    <t>cren1_8best_scaffolds_00009710</t>
  </si>
  <si>
    <t xml:space="preserve">MFKPEPMQKIVVIGISDFLPKTLSLLHDLKVVQIEPIKDEILKLAKLQSQ
LDIGKIVAEEYLRIRALKTALPPKPVKEKRKFSNIDEVLEVCKSVNIDDV
VSQIKKEQSEIQVRIEQLKNILEIAKNLSYINEDLSIFTTSSTSSFFAIL
KKENFEKIKDFMKKLNANVVYNVSEEKDRLKVIFIVNNKDLEKFGSAIQK
VEAKFYELNNLKGTPKEIIDNSQKEISKLLKRENELKEKLNDLADKYYSI
LLIIEEQLSIEQKKIEVLTQLARTENVFIIEGWVPKKRLDLLKESIEKIF
RGRVLVFEKEDKENPPTLMSNPQKLKFFESFIRFYSLPQPYEFDPTFVFS
LIFPIFFGLMLGDVGYSVLIILISYWIIRRVKYGGKTIVPAWIRRFARNI
FRPSAFAKIARAMLVGGFIGIIFGFLFNEYFGFKLNQYLFIYLNENFNLH
LPEDGTFIEPLASYGLKTLLLISGYFGLSLVSLGLIAGFLNYLWINEKRH
AIGKLGWLFVAWGISLIGLSLLKRQPISLGNFFIDLYIALIISGLLMISL
GEGTSAIIELPSIISHILSYTRLVGILLASIVLASVIDRIFLNSIYAGFF
NAIIGTVVLIIGQGFNFVIALFEPGIQGARLLYVEFFSKFFKGGGRPFQP
FGSQRKYTLNEIDVEELLSKKT
</t>
  </si>
  <si>
    <t xml:space="preserve">ATGTTCAAACCTGAGCCGATGCAAAAGATTGTAGTTATTGGAATTTCAGA
TTTCTTACCAAAGACTCTATCTTTACTTCATGATCTTAAAGTAGTACAAA
TAGAGCCTATAAAAGATGAAATTCTAAAGCTCGCTAAGCTACAATCGCAA
CTAGATATCGGAAAAATTGTAGCTGAAGAATATCTAAGAATAAGAGCGCT
TAAAACTGCTTTGCCCCCAAAGCCTGTAAAGGAAAAAAGAAAATTTTCAA
ACATAGATGAGGTTCTTGAAGTATGCAAATCCGTAAACATTGATGATGTT
GTATCACAGATAAAAAAAGAACAAAGTGAAATTCAAGTGAGAATAGAGCA
ACTTAAAAACATATTGGAAATAGCCAAAAATCTATCGTATATCAATGAAG
ATTTATCCATATTCACAACATCATCAACAAGTTCTTTCTTTGCAATTCTT
AAAAAAGAAAATTTTGAAAAAATAAAGGATTTCATGAAAAAGCTTAATGC
AAATGTTGTATATAATGTAAGCGAAGAAAAGGATAGACTTAAGGTCATTT
TTATAGTAAACAATAAAGATCTTGAGAAGTTCGGTTCTGCAATCCAAAAA
GTCGAAGCCAAATTTTATGAACTTAATAACTTGAAAGGCACTCCTAAAGA
GATAATTGATAACTCACAAAAAGAGATATCTAAATTACTCAAAAGGGAAA
ATGAGCTTAAAGAAAAGCTTAACGATTTGGCAGATAAATATTATTCGATT
TTATTAATCATTGAAGAACAGTTATCTATTGAACAAAAGAAAATAGAAGT
ATTAACACAGTTAGCAAGAACTGAGAATGTTTTTATAATAGAGGGTTGGG
TTCCAAAAAAGAGATTAGATTTATTGAAAGAATCTATCGAAAAAATTTTC
CGAGGAAGAGTTTTAGTTTTTGAGAAGGAAGATAAGGAAAATCCCCCAAC
ATTAATGTCGAATCCTCAAAAACTCAAATTTTTTGAATCTTTCATAAGGT
TTTATTCTCTTCCTCAACCATACGAATTTGATCCTACATTTGTTTTTTCG
CTTATTTTCCCTATTTTCTTTGGATTGATGTTAGGGGATGTTGGTTACTC
AGTTCTAATAATTTTGATTTCCTATTGGATTATAAGAAGGGTAAAATATG
GGGGTAAGACAATAGTACCTGCATGGATAAGAAGATTTGCAAGGAACATT
TTCAGGCCATCAGCTTTTGCAAAAATAGCCAGAGCAATGCTAGTTGGAGG
TTTCATTGGTATAATATTTGGATTTTTATTCAATGAATACTTTGGCTTTA
AGCTAAATCAATACCTTTTCATTTATCTTAATGAGAATTTTAATCTACAT
CTTCCTGAAGATGGTACTTTTATAGAACCGCTAGCAAGTTATGGGTTGAA
AACTTTATTACTCATAAGCGGATACTTTGGCTTATCTTTAGTATCTCTGG
GACTAATTGCAGGATTTTTAAATTATTTATGGATTAACGAAAAAAGGCAT
GCAATAGGTAAATTAGGATGGCTTTTCGTTGCATGGGGCATTTCATTGAT
AGGATTATCATTACTTAAAAGACAGCCAATTTCCTTAGGAAACTTTTTCA
TCGATCTTTACATAGCTTTGATAATTTCTGGACTACTTATGATTTCATTA
GGAGAAGGAACAAGCGCAATTATTGAACTTCCATCAATAATAAGTCACAT
ACTTTCATATACAAGGCTTGTAGGAATACTGCTAGCCTCAATAGTTTTAG
CATCAGTTATTGATAGGATTTTCTTAAATAGCATATATGCAGGATTTTTC
AACGCAATTATAGGGACAGTTGTTTTAATAATTGGGCAGGGTTTTAATTT
TGTTATAGCCCTTTTTGAACCTGGAATACAAGGCGCACGACTTTTGTATG
TAGAATTCTTTTCCAAATTCTTTAAAGGCGGAGGAAGACCTTTTCAGCCT
TTTGGCAGCCAAAGAAAGTATACTCTTAATGAAATAGATGTTGAAGAGTT
ATTGAGTAAGAAGACTTGA
</t>
  </si>
  <si>
    <t>cren1_8best_scaffolds_00009700</t>
  </si>
  <si>
    <t xml:space="preserve">MAQDYLKILKTIKEIEEKNKQELENLKNKLEAELNETYNKSRILIEQAKK
EAEKIINDAINEAIKKAEEKEKKYLFEAEEEKKKILSKNISKEKLIEIVE
KIVLESLK
</t>
  </si>
  <si>
    <t xml:space="preserve">ATGGCTCAAGATTATTTGAAAATTCTTAAGACGATAAAAGAAATTGAGGA
GAAAAATAAGCAGGAATTAGAAAATTTAAAAAATAAACTTGAAGCTGAAC
TTAACGAAACTTATAATAAGTCTAGAATTTTGATTGAACAAGCAAAAAAG
GAGGCTGAAAAAATAATAAATGATGCAATAAACGAAGCTATAAAAAAAGC
TGAAGAAAAGGAAAAGAAATACTTATTCGAGGCTGAAGAGGAAAAGAAAA
AAATTTTATCTAAAAATATAAGCAAAGAGAAGCTCATAGAAATTGTTGAA
AAGATAGTTTTAGAATCCTTAAAGTAA
</t>
  </si>
  <si>
    <t>diffusion</t>
  </si>
  <si>
    <t>phosphate ABC transporter, permease protein PstC</t>
  </si>
  <si>
    <t>cren1_8best_scaffolds_00006040</t>
  </si>
  <si>
    <t xml:space="preserve">MRSNKVYYYYFAGCIAVSSLLFLIIISLVIASIPAFDFYGVGLFASYFPA
IYGTIVVSITAILIATVLSIGSSIFIVEYVPQRIKGFFINLNDLMASFPT
IVYGFWGLYELGPFLNSTLFQFLYTYLGFIPLFSTPPTAVSYLLASIVLA
IMITPFASSLIREVYSKIPESMDEGIYALGLGKYHVIKIKISYIAKSILG
ALTLAYGRGLGETVAVDLTIGNSFIASPSLLSTGITIPALIANQFGSAFT
ELELSSLFSLALVLFIIGLVFIIAGKLLFYKRQ
</t>
  </si>
  <si>
    <t>ATGAGGTCTAACAAAGTTTATTATTATTATTTTGCCGGTTGTATTGCAGT
CTCTTCTTTACTTTTTCTTATAATTATTTCACTAGTCATAGCATCTATTC
CTGCTTTTGATTTCTATGGGGTAGGATTATTTGCATCGTATTTTCCCGCA
ATATACGGGACCATAGTTGTCTCTATAACTGCGATTTTAATAGCTACTGT
TTTATCCATTGGTAGCAGCATTTTTATAGTCGAATACGTCCCTCAAAGAA
TTAAAGGGTTTTTCATAAACTTAAACGATTTGATGGCTTCTTTTCCCACG
ATAGTTTATGGTTTCTGGGGGCTTTATGAATTGGGGCCTTTCTTAAATTC
AACATTATTTCAATTTTTATACACGTATTTAGGCTTCATACCTTTATTCT
CAACCCCTCCAACCGCTGTTTCATATCTTTTAGCTTCTATAGTTCTAGCA
ATAATGATTACTCCATTTGCCTCCTCACTAATAAGGGAAGTTTATTCTAA
AATACCTGAATCAATGGATGAGGGAATATACGCTTTGGGCTTAGGAAAGT
ATCATGTAATTAAAATAAAAATATCATACATAGCGAAATCAATACTTGGA
GCATTAACTTTAGCCTATGGTCGAGGGTTAGGAGAAACAGTAGCTGTTGA
TCTGACAATTGGAAATTCATTCATTGCGTCTCCAAGTCTTTTATCCACTG
GAATTACAATCCCTGCATTGATAGCTAATCAATTTGGCTCAGCTTTTACA
GAACTCGAGTTATCTTCGCTTTTCTCTCTTGCGCTTGTATTGTTCATAAT
CGGCTTGGTCTTCATAATAGCAGGAAAACTTCTATTTTATAAAAGACAAT
GA</t>
  </si>
  <si>
    <t>phosphate ABC transporter, phosphate-binding protein</t>
  </si>
  <si>
    <t>cren1_8best_scaffolds_00006050</t>
  </si>
  <si>
    <t xml:space="preserve">MAKRLALSKLVIGTTIVAIVIVGALLYTVYNNMTGNNPSGSKINLNSINV
SIIMGGSTFINPQMQAWIQKFSSKFPNILVTYQSVGSGAGANNFISGTYD
VGATDAPMPTELWQKATALKGSVITIPDIVGSEAIIFNIPGFDPSKNGNL
NLTASILARIYLGQISYWDDPSIKSLNPGFNFPHQKITAVHRSDGSGTTF
VFTVWLYLTSIEWKTSGVGYGYTVNWPVDKLGGLGGKGNEGVTAYVKQTE
FSIGYVEVQYAIANNLETAAIENPSGKFVLPNSNSISLALLSLDITKFPQ
PTQDWSNITALLLNSQDPNSYPIVTFSYLVIQKNYSDLNKAAGIYAFLNY
IFTEGQSNGNIVTGYLPLPTNVQNYVLNEIKLISYNSQPVYQLISS
</t>
  </si>
  <si>
    <t xml:space="preserve">ATGGCAAAAAGATTAGCTCTTTCAAAGCTAGTAATTGGCACAACTATAGT
GGCAATAGTTATTGTAGGGGCTTTGTTGTATACAGTTTATAACAACATGA
CAGGCAATAATCCTTCTGGCTCAAAAATCAATTTAAATTCAATTAACGTT
TCCATTATAATGGGAGGTTCAACATTCATAAATCCCCAAATGCAAGCATG
GATACAGAAATTTTCTTCAAAATTTCCTAATATATTAGTAACTTATCAAT
CTGTGGGTAGTGGAGCGGGAGCAAACAACTTTATCAGTGGTACGTATGAT
GTAGGTGCTACAGATGCACCAATGCCCACTGAACTTTGGCAAAAGGCTAC
AGCATTAAAGGGAAGCGTAATCACTATACCAGATATTGTTGGCAGTGAAG
CGATCATTTTTAACATTCCTGGCTTTGATCCATCAAAAAACGGTAATCTA
AATTTAACTGCAAGTATTTTAGCTAGAATTTATTTAGGTCAAATTAGTTA
TTGGGATGACCCTTCAATAAAAAGTTTAAATCCAGGTTTTAATTTTCCAC
ATCAAAAAATTACTGCTGTTCATAGAAGTGACGGTAGTGGTACAACCTTT
GTTTTCACAGTATGGCTCTATCTTACTTCCATTGAATGGAAGACTTCAGG
TGTTGGATACGGTTACACAGTCAATTGGCCAGTCGATAAATTAGGAGGAC
TTGGTGGCAAAGGTAACGAAGGTGTGACTGCTTATGTAAAACAAACTGAA
TTTTCCATAGGATACGTTGAAGTACAATATGCAATAGCAAACAATTTAGA
AACTGCAGCTATCGAAAATCCAAGCGGAAAATTTGTTTTACCCAATTCGA
ATAGTATTTCTTTAGCTTTACTTTCTTTGGATATAACAAAGTTTCCACAA
CCTACACAAGATTGGAGCAATATTACAGCTTTATTATTGAATTCCCAAGA
CCCCAATTCTTATCCTATAGTAACTTTTTCTTACCTTGTTATTCAGAAAA
ACTATAGCGATTTAAACAAGGCTGCAGGAATTTACGCCTTTTTGAATTAT
ATTTTCACAGAAGGACAAAGTAATGGAAACATTGTTACAGGTTATTTGCC
ACTGCCTACAAACGTTCAAAATTACGTTCTCAATGAGATAAAGCTGATAA
GCTATAATTCACAGCCAGTCTATCAGTTAATTTCAAGCTAG
</t>
  </si>
  <si>
    <t>methylisocitrate lyase</t>
  </si>
  <si>
    <t>cren1_8best_scaffolds_00011200</t>
  </si>
  <si>
    <t>MIRSGRPVSLRALIEGNEIIVAPGVFNPISALLCKNIGFKAVYLSGAALT
GSLALPDLGIITLTEVAEEVRKIRRIVDLPIIVDADTGYGETINVFRAVK
ELESAGASAIQIEDQVNPKKCGHLEGKMLVDEIEMAKKIRMAKEARKNDD
FLIIARTDARAVEGIERAIERAKLYLEAGADIIFPEALESFEEFKLFSSK
VKCTLMANMTEFGKTPYITVEEFKEAGYKIVIFPVTLLRASLFAMKETLQ
EIKSKGTQKFVINKLMTRSEFYELIKYYDYIELDNKIAKSFLKD</t>
  </si>
  <si>
    <t>ATGATAAGATCGGGTCGACCGGTTTCTCTGCGAGCCTTAATTGAAGGAAA
TGAAATAATAGTAGCGCCTGGTGTTTTCAATCCAATATCAGCATTATTAT
GTAAAAACATTGGCTTTAAAGCAGTATATTTATCAGGCGCTGCGCTGACT
GGAAGCTTAGCTTTGCCCGATTTGGGAATAATAACCTTAACTGAGGTTGC
TGAAGAGGTTAGAAAAATTAGAAGAATCGTCGATCTTCCTATAATTGTAG
ACGCCGATACGGGCTATGGCGAAACGATAAATGTTTTTAGGGCTGTAAAA
GAATTGGAATCTGCAGGGGCATCCGCAATACAGATTGAAGACCAAGTAAA
TCCTAAAAAATGTGGCCATCTTGAAGGAAAAATGCTTGTAGATGAAATTG
AAATGGCAAAAAAGATAAGGATGGCTAAAGAAGCAAGAAAAAATGATGAT
TTCTTGATAATAGCAAGAACAGATGCAAGAGCCGTTGAAGGAATAGAAAG
AGCTATAGAAAGAGCTAAGCTCTACTTAGAAGCAGGCGCTGACATTATAT
TTCCAGAGGCTTTAGAAAGTTTCGAAGAGTTTAAACTTTTTTCAAGTAAA
GTTAAGTGTACTTTAATGGCTAACATGACAGAATTTGGGAAAACGCCCTA
CATTACAGTCGAAGAATTTAAGGAAGCCGGATATAAAATAGTTATATTTC
CAGTAACATTATTAAGAGCGTCTCTTTTCGCCATGAAGGAAACATTGCAA
GAAATAAAATCGAAAGGCACTCAAAAATTCGTGATAAATAAGCTAATGAC
TAGAAGCGAATTCTATGAATTAATCAAATATTATGATTATATTGAGCTTG
ATAATAAAATTGCAAAAAGCTTCCTAAAAGATTAA</t>
  </si>
  <si>
    <t>ammonium transporter</t>
  </si>
  <si>
    <t>cren1_8best_scaffolds_00003500</t>
  </si>
  <si>
    <t>VLAVDVQNSYSSGDTAWQLITATLVGLQSIPGLALMYAGLVNKRHAINTA
LMVFYAFSATTVVWILWAYGMAFGYPLIKDFIGFPKPYTDYISQGAQAII
PSAGITANFPMAVMVYFQLVFASITIVILAGSVLERMNFKAWLIFVPLWI
TFDYSFIAFWIWGGGFLFQLGALDFSGGYVIHLNAGIAAIAAALAVGPRI
HSKYFQRPNNPLLVLAGAGILWLGWNGFNGGDPFAANTDAAIAILNTNLA
TAIAVVTWIILDTIYYERTSLIGSVNGMIAGLVAITPAAGIVSGYSSIVI
GILGSFFAWLSMNKIQRRLKVDDNLGVFSTHAIPGLTGGILTGIFAEPAY
ASLFGINAVGAIYGNIYQLLIQILAAGIVIAYSFLSTLGILQLVKLITPL
RMKEIEEKIGDLAIHGEVQYEELIRYGNSEDVNLGHSKNKKE</t>
  </si>
  <si>
    <t xml:space="preserve">GTGCTAGCTGTTGATGTACAAAATTCCTATAGCTCCGGTGACACTGCATG
GCAATTAATTACAGCAACCCTAGTAGGTTTACAGTCAATACCTGGTTTAG
CACTGATGTATGCAGGTCTAGTAAATAAAAGGCATGCAATAAACACCGCT
CTTATGGTATTTTATGCATTCTCAGCTACTACTGTAGTATGGATATTGTG
GGCATATGGAATGGCCTTCGGTTATCCATTAATTAAAGATTTCATCGGAT
TTCCTAAACCTTATACCGATTATATATCACAAGGAGCTCAAGCAATAATA
CCTTCAGCTGGCATAACCGCAAACTTTCCCATGGCAGTAATGGTCTATTT
TCAATTGGTATTTGCTTCAATAACAATCGTAATATTAGCAGGCTCAGTTT
TGGAAAGAATGAACTTTAAAGCTTGGCTTATCTTCGTTCCACTCTGGATA
ACATTCGATTATAGTTTTATTGCATTCTGGATATGGGGTGGAGGCTTTCT
ATTCCAACTTGGGGCTCTAGATTTTTCAGGTGGATATGTTATACACCTGA
ATGCAGGAATTGCAGCTATTGCTGCTGCCTTAGCAGTTGGTCCAAGAATC
CATTCAAAGTATTTTCAAAGACCTAATAATCCATTGCTCGTTTTAGCAGG
TGCTGGAATACTATGGTTAGGTTGGAATGGATTTAACGGAGGAGACCCCT
TTGCTGCAAATACTGATGCAGCAATAGCTATCTTAAACACAAATTTGGCC
ACAGCTATAGCGGTGGTTACATGGATAATACTCGATACCATTTATTATGA
AAGAACATCATTGATAGGTTCGGTGAATGGAATGATAGCTGGATTGGTAG
CAATAACCCCTGCAGCTGGAATAGTTTCAGGCTATAGTTCAATAGTTATA
GGGATCCTAGGTTCTTTTTTTGCATGGCTATCAATGAATAAAATTCAAAG
AAGGTTAAAAGTTGATGATAATTTAGGAGTATTTAGTACGCATGCAATAC
CTGGTTTGACAGGTGGCATTCTAACAGGTATTTTTGCTGAGCCTGCTTAT
GCATCACTTTTTGGCATTAACGCTGTTGGTGCAATATACGGCAACATTTA
TCAGCTTTTAATTCAAATTCTTGCAGCTGGAATAGTAATTGCTTATAGCT
TTTTAAGCACCTTAGGAATACTTCAATTAGTTAAATTAATAACTCCATTA
AGAATGAAGGAAATTGAGGAAAAAATAGGCGATCTTGCAATTCATGGCGA
GGTTCAATATGAAGAATTAATACGGTATGGTAATAGTGAAGATGTTAATT
TAGGACATTCAAAAAACAAAAAAGAATAA
</t>
  </si>
  <si>
    <t>formate dehydrogenase, alpha subunit, archaeal-type</t>
  </si>
  <si>
    <t>cren1_8best_scaffolds_00013620</t>
  </si>
  <si>
    <t>VKVVVEDKILEAIPNETILTFLLRNNIHIPFICYQPGLDVLESCETCIVE
ANGHLVRACSTKIGEGMKISISSKRVYEARKKAFDRILRDHYLYCTLCDK
SSYCYLRYWVLHLGIEHQDYKSKNYPIDDSNPFYIYDPNQCILCGRCVEA
CQDLVVNEVIHIDWNLNPPRVVWDRGAPINQSSCVSCGTCVTVCPVNALM
EKKVLGEMGYFTGLNPKIKQGLIQITKQIEKSIDTFQPILEISEIDAKLR
TLVKRTKTVCMFCGVGCSFEVWTKDNKIIKVQPSPNSPANGLATCIKGKF
GWDFVNDPDRLKKPLIKENGKFREATWQEALNLIINKLKEIKEKYGPDAI
GIIANCTGTNEEAYLAQKLARAVIGTNNVDNCARYCQAPATTGLFRTVGI
GADAGTMQDIYNADLVITMGSNTAESHPVLAGKIKRAKKLRGQKLIVVDV
RKHEMAERADLFIKVNPGTDLILLNAVSKYIIDKGWEDKKFIQERTVGFE
EFKKYLEKFTLDYAEKKTGVKKEDIIKMAEMIHEARNTCICYAMGITQHQ
SGSETSTAISNLLLLTGNYGRPSCGAYPLRGHANVQGASDFGALPMYMPG
YEKVDDPEVRKRYEEGWKVKLPTKPGLTSTEMIDAIFEGKLKALLIFGED
KVLADSNRQRTTKALQQLELLVVTEIFMTQTASLAHVVLPAAASVEKDGT
FVNTERRIQRLYKALDPPGECRPEWQIYQDIANGLGANWNYKHPSEIMDE
VARLCPVFAGVNYQRLEGYRSLLWPVAPDGTDTPYLYKDRFNFPDGKARF
YPPKYIEPLETNGQFDLYLDNGRMLEHFHWGNVSYRTAGIKEKVPNVFLE
VSPELAKERGLNEGDLVRVVSPVGSIKARVVITNRVQGNTLFLAIHNNLE
ETINTLTTNVRDPVVKTPAYKELPVRIEKIEEGKGIEPLPLINPRRYKGV
SQIGIKVEEKWKRPEYSPIAERLN</t>
  </si>
  <si>
    <t>GTGAAGGTTGTTGTAGAGGATAAGATTTTAGAAGCTATTCCTAACGAAAC
AATCTTAACGTTTTTACTGAGAAATAATATACATATTCCTTTTATTTGTT
ATCAACCAGGTCTTGATGTTCTTGAATCATGTGAAACATGTATTGTAGAG
GCAAATGGTCATCTAGTAAGAGCGTGTTCAACAAAAATAGGAGAGGGAAT
GAAAATATCAATCTCATCAAAGAGAGTTTATGAAGCAAGGAAAAAGGCAT
TTGACAGAATATTAAGAGATCATTATTTATATTGTACTTTATGTGACAAA
AGTTCATATTGTTATTTAAGATATTGGGTTTTGCATCTAGGAATAGAGCA
TCAAGATTATAAAAGTAAAAACTATCCGATAGATGATTCAAATCCTTTTT
ATATATATGATCCAAATCAATGTATACTTTGTGGAAGATGTGTTGAAGCT
TGCCAAGACTTAGTTGTTAACGAGGTAATTCATATAGATTGGAATCTAAA
TCCACCGAGAGTAGTTTGGGATAGAGGGGCACCAATCAATCAATCCTCAT
GTGTCTCCTGTGGAACATGCGTAACTGTTTGTCCTGTTAACGCATTGATG
GAAAAGAAAGTCCTTGGAGAAATGGGATACTTTACAGGTCTTAATCCCAA
AATTAAGCAAGGCTTGATACAGATAACAAAGCAAATAGAAAAGAGTATTG
ATACTTTCCAACCCATTCTAGAAATTAGTGAAATAGATGCAAAGCTTAGA
ACTCTTGTAAAAAGAACAAAAACTGTTTGCATGTTCTGTGGAGTTGGTTG
TAGCTTTGAAGTTTGGACAAAAGACAACAAAATAATTAAAGTTCAACCTT
CACCAAATTCTCCAGCAAATGGATTGGCCACATGCATAAAGGGTAAGTTT
GGTTGGGATTTTGTAAACGATCCTGATAGATTGAAAAAGCCTTTAATAAA
GGAAAATGGAAAATTCAGAGAAGCTACATGGCAAGAAGCATTAAATCTTA
TAATAAATAAGCTTAAAGAGATAAAGGAAAAATATGGGCCTGATGCAATT
GGAATAATCGCAAACTGTACAGGAACGAATGAAGAAGCATATCTTGCGCA
AAAATTAGCAAGAGCTGTAATAGGAACTAACAACGTTGATAATTGTGCAA
GATATTGCCAAGCTCCTGCAACTACGGGCTTATTTAGAACAGTAGGAATC
GGTGCTGATGCAGGAACAATGCAGGATATTTACAATGCTGACTTGGTTAT
TACAATGGGCTCTAATACTGCTGAATCTCATCCCGTATTGGCCGGAAAAA
TAAAAAGGGCAAAGAAGCTAAGAGGACAAAAGTTAATCGTAGTTGATGTT
AGGAAACATGAAATGGCTGAAAGAGCAGACTTGTTTATAAAGGTTAATCC
TGGCACCGATTTAATTTTACTCAATGCTGTTTCTAAGTATATTATAGATA
AGGGATGGGAGGATAAGAAGTTCATTCAAGAAAGAACAGTAGGATTTGAA
GAATTCAAAAAATATCTTGAGAAGTTTACCTTAGATTATGCTGAGAAAAA
AACAGGTGTTAAAAAGGAAGATATAATAAAGATGGCTGAAATGATACATG
AAGCGAGAAATACCTGCATATGCTATGCAATGGGTATAACACAACATCAA
TCTGGTAGTGAAACCTCAACAGCAATTTCAAACTTATTATTGTTAACAGG
AAACTATGGAAGGCCTTCTTGTGGCGCTTATCCTTTGAGAGGCCATGCAA
ATGTTCAAGGAGCAAGTGATTTTGGTGCTTTACCAATGTACATGCCAGGT
TATGAAAAAGTTGATGATCCTGAAGTGAGAAAGAGGTATGAAGAAGGATG
GAAAGTAAAGCTTCCTACAAAGCCTGGCTTAACAAGTACAGAGATGATTG
ATGCGATTTTCGAAGGGAAGTTAAAGGCACTACTTATATTTGGAGAGGAC
AAAGTATTAGCTGATTCAAATAGACAAAGAACAACAAAGGCTTTGCAACA
GCTTGAATTATTGGTTGTTACAGAGATATTCATGACCCAAACAGCTTCTT
TAGCCCATGTTGTTTTACCTGCAGCAGCTTCTGTAGAGAAAGATGGAACG
TTTGTTAATACAGAAAGAAGGATACAAAGACTCTATAAAGCTCTTGATCC
TCCTGGAGAATGCAGACCTGAATGGCAAATATACCAAGATATTGCTAATG
GTTTGGGTGCAAATTGGAATTATAAACATCCCTCAGAAATAATGGACGAA
GTAGCAAGGCTTTGTCCTGTATTTGCTGGAGTTAATTATCAGAGATTGGA
AGGCTATAGAAGCCTGCTCTGGCCTGTTGCTCCTGATGGAACAGACACTC
CTTATTTGTATAAAGATAGATTTAACTTTCCAGACGGTAAGGCTAGATTT
TATCCTCCTAAATATATTGAACCATTGGAAACAAATGGGCAATTTGACTT
ATATTTGGATAATGGAAGAATGCTTGAGCATTTCCATTGGGGAAACGTAA
GTTATAGAACAGCTGGTATTAAAGAAAAAGTGCCTAACGTTTTTCTAGAA
GTCTCACCTGAGTTAGCAAAAGAAAGAGGGTTAAATGAAGGAGATTTAGT
AAGAGTAGTTTCTCCTGTAGGATCAATAAAGGCAAGAGTCGTTATAACGA
ATAGAGTTCAAGGAAATACTCTTTTCCTTGCTATACACAACAATTTGGAA
GAAACCATAAACACTTTAACAACAAATGTAAGAGATCCGGTTGTAAAAAC
ACCTGCATATAAAGAACTTCCTGTAAGGATAGAAAAAATAGAAGAAGGAA
AGGGAATAGAACCATTGCCTTTAATAAATCCAAGACGCTATAAAGGAGTA
TCCCAAATTGGGATAAAGGTAGAAGAAAAGTGGAAGAGACCTGAATATTC
TCCAATTGCAGAGAGGTTAAATTAA</t>
  </si>
  <si>
    <t>1.2.1.-</t>
  </si>
  <si>
    <t>cren1_8best_scaffolds_00011370</t>
  </si>
  <si>
    <t>LLKNIKRNKVSKMPEITLAEALNQTLKEQMRKDDRIVVLGEDIGKRGGVF
LITEGLIDEFGPERVINTPLSEAAIFGVACGMAIYGLKPIAEVQFFDFAF
GGFDQIVSQIAKIRYRSGGQFKAPLIIRGPVAGGIRGGMYHSQSPESYYI
HTAGLKVIVPAFPYDAKGLLISAIKADDPIIFMEPKTLYRTIKQEVPEGE
YTVPIGEAKVLREGDDVLFISYGAMVHRALQAAEQLYKENISAEVIDLRT
LLPLDIQTILKSVRKIGRVIIIHEAPKTLGFGAEIAALIAEKAIDYLKGP
ILRVTGQDTPFPLVHDQYYLPTLKRIINAAKYLINY</t>
  </si>
  <si>
    <t xml:space="preserve">TTGTTAAAGAATATAAAGAGGAACAAGGTGAGTAAAATGCCAGAGATAAC
TTTAGCTGAAGCTTTGAATCAAACTTTGAAGGAACAGATGAGAAAAGATG
ACAGAATAGTGGTATTAGGTGAGGATATAGGAAAGAGAGGAGGCGTTTTC
CTTATAACTGAGGGCTTAATAGATGAGTTTGGACCTGAACGGGTTATTAA
CACTCCTCTATCTGAGGCTGCAATATTTGGGGTTGCATGTGGAATGGCAA
TATATGGACTTAAGCCAATAGCTGAAGTTCAGTTCTTTGACTTTGCATTT
GGAGGCTTTGATCAAATAGTTTCTCAGATAGCCAAAATAAGGTACAGATC
AGGAGGTCAATTTAAGGCGCCTTTAATAATTAGAGGGCCTGTAGCAGGTG
GAATAAGGGGAGGAATGTATCATTCACAAAGTCCTGAAAGCTATTACATT
CATACTGCAGGATTGAAAGTAATAGTTCCCGCATTTCCCTATGATGCAAA
GGGTCTTTTAATTTCAGCAATTAAAGCTGATGATCCTATAATATTCATGG
AACCAAAAACCCTTTACAGAACCATTAAACAAGAAGTGCCTGAAGGTGAA
TATACAGTTCCAATTGGTGAAGCAAAAGTTTTAAGGGAAGGAGATGATGT
CTTATTCATAAGCTATGGAGCTATGGTTCATAGAGCTTTGCAGGCTGCAG
AACAACTTTATAAAGAAAACATCAGTGCTGAGGTAATTGATTTAAGAACT
TTATTACCGTTGGACATTCAAACTATTTTGAAATCAGTAAGAAAAATAGG
AAGAGTTATTATTATTCATGAAGCGCCAAAAACATTGGGCTTCGGAGCTG
AGATTGCTGCTTTGATTGCTGAGAAAGCGATTGATTATTTAAAAGGTCCA
ATATTAAGAGTGACAGGTCAAGACACTCCATTTCCACTTGTTCATGACCA
GTATTACTTACCTACATTAAAGAGAATAATTAATGCAGCTAAGTATCTAA
TAAACTACTAA
</t>
  </si>
  <si>
    <t>1.3.8.5</t>
  </si>
  <si>
    <t>4.2.1.17</t>
  </si>
  <si>
    <t>1.1.1.178</t>
  </si>
  <si>
    <t>1.2.1.25</t>
  </si>
  <si>
    <t>1.3.8.-</t>
  </si>
  <si>
    <t>3.1.2.4</t>
  </si>
  <si>
    <t>1.1.1.31</t>
  </si>
  <si>
    <t>1.2.1.27</t>
  </si>
  <si>
    <t>transport</t>
  </si>
  <si>
    <t>arg_pro_2_7_2_8</t>
  </si>
  <si>
    <t>arg_pro_1_2_1_38</t>
  </si>
  <si>
    <t>arg_pro_2_6_1_11</t>
  </si>
  <si>
    <t>Geoarchaeota archaeon OSPB_1 (8 best scaffolds)</t>
  </si>
  <si>
    <t xml:space="preserve"> rRNA</t>
  </si>
  <si>
    <t xml:space="preserve"> C25-C25</t>
  </si>
  <si>
    <t>1 kg_biomass</t>
  </si>
  <si>
    <t xml:space="preserve"> Maintenance_energy</t>
  </si>
  <si>
    <t>Acetate_excretion</t>
  </si>
  <si>
    <t>1 Acetate = 1 Acetate_ext</t>
  </si>
  <si>
    <t>Acetate_ext</t>
  </si>
  <si>
    <t>lactate_excretion</t>
  </si>
  <si>
    <t>myell_biomass_deg</t>
  </si>
  <si>
    <t>AMP_uptake</t>
  </si>
  <si>
    <t>GMP_uptake</t>
  </si>
  <si>
    <t>UMP_uptake</t>
  </si>
  <si>
    <t>CMP_uptake</t>
  </si>
  <si>
    <t xml:space="preserve"> myell_rRNA</t>
  </si>
  <si>
    <t xml:space="preserve"> CELB</t>
  </si>
  <si>
    <t xml:space="preserve"> myell_protein</t>
  </si>
  <si>
    <t>1 myell_biomass</t>
  </si>
  <si>
    <t>myell_lipid_ext</t>
  </si>
  <si>
    <t>AMP_ext</t>
  </si>
  <si>
    <t>CMP_ext</t>
  </si>
  <si>
    <t>GMP_ext</t>
  </si>
  <si>
    <t>Glycine_ext</t>
  </si>
  <si>
    <t>L-Alanine_ext</t>
  </si>
  <si>
    <t>L-Arginine_ext</t>
  </si>
  <si>
    <t>L-Asparagine_ext</t>
  </si>
  <si>
    <t>L-Aspartate_ext</t>
  </si>
  <si>
    <t>L-Cysteine_ext</t>
  </si>
  <si>
    <t>L-Glutamate_ext</t>
  </si>
  <si>
    <t>L-Glutamine_ext</t>
  </si>
  <si>
    <t>L-Histidine_ext</t>
  </si>
  <si>
    <t>L-Isoleucine_ext</t>
  </si>
  <si>
    <t>L-Leucine_ext</t>
  </si>
  <si>
    <t>L-Lysine_ext</t>
  </si>
  <si>
    <t>L-Methionine_ext</t>
  </si>
  <si>
    <t>L-Phenylalanine_ext</t>
  </si>
  <si>
    <t>L-Proline_ext</t>
  </si>
  <si>
    <t>L-Serine_ext</t>
  </si>
  <si>
    <t>L-Threonine_ext</t>
  </si>
  <si>
    <t>L-Tryptophan_ext</t>
  </si>
  <si>
    <t>L-Tyrosine_ext</t>
  </si>
  <si>
    <t>L-Valine_ext</t>
  </si>
  <si>
    <t>Lactate_ext</t>
  </si>
  <si>
    <t>UMP_ext</t>
  </si>
  <si>
    <t>myell_biomass</t>
  </si>
  <si>
    <t>myell_biomass_transport</t>
  </si>
  <si>
    <t>1 myell_biomass_ext = 1 myell_biomass</t>
  </si>
  <si>
    <t>myell_biomass_ext</t>
  </si>
  <si>
    <t>Ppi</t>
  </si>
  <si>
    <t>myell_DNA</t>
  </si>
  <si>
    <t xml:space="preserve"> myell_DNA</t>
  </si>
  <si>
    <t>myell_DNA_EXT</t>
  </si>
  <si>
    <t>myell_DNA_excrete</t>
  </si>
  <si>
    <t>1 myell_DNA = 1 myell_DNA_EXT</t>
  </si>
  <si>
    <t>1.1.1.95</t>
  </si>
  <si>
    <t>Phosphoglycerate dehydrogenase and related dehydrogenases</t>
  </si>
  <si>
    <t>cren1_8best_scaffolds_00004970</t>
  </si>
  <si>
    <t xml:space="preserve">MVKILIADYVPEICIKILSSKGFLVDFLPEINQSEISDKIKDYDALILRG
RLRLNKEILEKAKNLKLIVRAGVGLDNIDLKYASEKGIEVRNTPAAPSKA
VSELTVALIICLLRNLYKAFDSLKKGSWIKKELIGSEISSKTVGIFGFGR
IGYEVAKRLKNFGCKIIAYDIDPSRESFAKELDIEFTKDFDYILKNSDII
TIHIPLLDSTRNLFNYETMKKMKKGSYIINTSRGEVLDERALLSLIKEGH
IAGAALDVFSKEPPVEDFLRDLLSLENVIATPHIGAQTKEALEAEAKEAA
EIVLNFFKQ
</t>
  </si>
  <si>
    <t>ATGGTTAAAATTCTTATTGCAGATTATGTTCCAGAAATATGCATAAAGAT
TCTAAGTTCAAAAGGATTTCTTGTAGATTTCTTACCTGAGATAAATCAGA
GCGAAATTTCAGATAAAATAAAGGATTACGATGCCTTAATTCTAAGGGGT
AGATTAAGGCTTAATAAAGAAATTCTTGAAAAAGCTAAAAATCTAAAACT
AATAGTAAGAGCAGGTGTTGGTCTTGATAACATAGATTTAAAGTATGCAA
GCGAAAAGGGAATTGAAGTTAGGAACACTCCTGCTGCACCAAGTAAAGCT
GTTTCTGAATTAACAGTTGCTTTAATAATATGCTTATTGCGAAATCTCTA
CAAAGCATTCGATTCTTTAAAAAAAGGAAGCTGGATAAAAAAAGAGTTAA
TAGGAAGTGAAATTTCCAGCAAAACAGTTGGAATATTTGGATTTGGAAGA
ATTGGTTATGAAGTTGCAAAAAGGCTTAAAAATTTTGGTTGCAAGATAAT
TGCCTATGATATAGATCCTTCAAGGGAAAGTTTTGCAAAGGAGCTTGATA
TAGAATTTACAAAGGATTTTGATTATATTCTAAAAAACAGCGATATAATA
ACAATCCACATTCCTTTGTTGGATTCAACAAGGAATCTTTTTAACTATGA
GACAATGAAAAAAATGAAGAAAGGCTCATACATAATAAATACTTCAAGGG
GAGAAGTCTTGGATGAAAGGGCTTTGCTTAGTTTGATAAAGGAAGGTCAT
ATAGCTGGCGCTGCACTAGATGTTTTCTCAAAGGAACCTCCTGTTGAAGA
TTTCTTAAGAGATTTGCTAAGTTTGGAAAACGTAATAGCAACACCGCATA
TTGGGGCTCAAACAAAAGAAGCTTTAGAAGCTGAAGCAAAAGAAGCAGCA
GAAATTGTTTTGAATTTTTTCAAACAATAG</t>
  </si>
  <si>
    <t>cren1_8best_scaffolds_00016500</t>
  </si>
  <si>
    <t>MLIISTEKLPEECKRLLKNVKDEFSEEDLERADIIMLWPSQIRTILPKAK
SLKVIQCFTAGVDGIPFEILPKDVVVFSNAGAYSVPVAEHAFALIMTLAK
GIGKKERIVVPYLLSGKTLLVLGGGGIGSEVARIGKTAFNMYVIGISRSF
KKPEFFDEKYDLDKLKDVISRADYIVDALPLNKFTRGILNYDVLSRTKEN
CVIVNVGRGETIVEDDIYRILKERKGLRFGTDVFWRKDGTEDFNSKLWEL
ENFTGTPHTAGAYGNEAVKIHAITEACKNVYRYITTGKAENKIRIEEYI</t>
  </si>
  <si>
    <t xml:space="preserve">ATGCTAATAATTTCTACTGAAAAGCTTCCCGAGGAATGTAAAAGACTACT
AAAAAATGTCAAGGATGAATTTTCTGAAGAAGATTTAGAAAGAGCAGATA
TAATTATGCTTTGGCCATCGCAGATAAGAACAATTTTGCCAAAGGCAAAA
TCTTTGAAAGTTATACAATGTTTCACGGCCGGAGTTGATGGTATCCCTTT
TGAAATATTGCCAAAAGATGTTGTTGTATTTTCAAATGCTGGTGCTTATT
CAGTTCCAGTAGCAGAACATGCCTTTGCCCTTATTATGACGTTAGCTAAA
GGGATAGGTAAAAAGGAAAGGATTGTTGTACCTTACCTATTATCAGGCAA
AACTTTACTTGTTTTAGGTGGAGGAGGTATAGGATCGGAAGTTGCGAGAA
TTGGAAAGACGGCGTTCAACATGTATGTAATAGGAATTTCTAGATCTTTT
AAGAAACCTGAATTTTTTGATGAAAAGTATGATTTGGATAAATTGAAAGA
TGTAATAAGCAGAGCAGATTATATTGTAGATGCTTTGCCTTTGAATAAAT
TTACTAGGGGAATTTTAAACTATGATGTTCTATCAAGAACAAAAGAAAAT
TGCGTAATTGTCAATGTTGGAAGAGGAGAAACAATTGTTGAAGATGATAT
TTATAGAATACTGAAAGAAAGAAAGGGTCTAAGATTTGGAACTGACGTTT
TTTGGAGAAAAGATGGAACTGAAGATTTCAATAGTAAATTATGGGAGTTA
GAGAATTTTACTGGAACTCCGCATACAGCTGGCGCATATGGAAATGAAGC
AGTTAAAATTCATGCAATAACCGAAGCATGTAAGAATGTTTATAGATACA
TTACTACAGGGAAGGCTGAAAACAAGATAAGAATTGAGGAGTATATATAA
</t>
  </si>
  <si>
    <t>2.6.1.52</t>
  </si>
  <si>
    <t>3.1.3.3</t>
  </si>
  <si>
    <t>cren1_8best_scaffolds_00003320</t>
  </si>
  <si>
    <t xml:space="preserve">LNKRKFKCFVTDVDGVLTKIDSVWQYIHEKLNVVKEAKINYDLYHNGKID
YFEWARRDITLWKGTRYEEFIKIIRSVEIRKGSDELFKYLHEKGLKVIAI
SGGLTPLLEYLHEKFKFDAYVANDIIFQNGVVCGKFRINVKPHNKGRILR
KVLKNFNLEPEVCIGIGDSKFDVPMLKLCGYSIAFNPKDERLLKICDEVI
HSEDLYRVLKRIKSLIND
</t>
  </si>
  <si>
    <t>TTGAATAAAAGAAAATTCAAGTGTTTTGTAACAGATGTTGATGGAGTCTT
AACAAAAATAGATAGCGTATGGCAGTACATACATGAAAAACTCAACGTGG
TAAAGGAAGCGAAGATAAACTATGATCTTTATCATAACGGGAAAATTGAT
TACTTTGAATGGGCTAGGAGAGATATAACCCTTTGGAAGGGGACCAGGTA
TGAAGAATTCATTAAAATAATAAGAAGTGTTGAAATAAGAAAAGGAAGCG
ATGAACTATTTAAATATCTTCATGAAAAAGGATTAAAGGTCATTGCAATA
AGTGGAGGTCTTACTCCTTTACTTGAATACCTTCATGAAAAATTCAAATT
TGATGCTTACGTAGCTAATGACATAATTTTTCAGAATGGAGTTGTTTGTG
GAAAGTTCCGAATAAACGTGAAACCGCATAATAAAGGAAGAATTTTGCGA
AAAGTGCTAAAGAATTTTAATCTAGAACCAGAAGTTTGCATAGGTATAGG
TGATTCAAAGTTCGATGTTCCTATGTTAAAATTATGTGGTTATAGTATAG
CTTTTAATCCTAAAGATGAAAGATTGCTAAAGATTTGTGATGAGGTAATT
CATTCAGAAGATTTATACAGAGTTCTAAAAAGAATTAAAAGTCTTATAAA
CGATTAA</t>
  </si>
  <si>
    <t>cren1_8best_scaffolds_00016770</t>
  </si>
  <si>
    <t xml:space="preserve">MLIIFDVEGVLYDAEYLPMLARLVNKEDEILKITLKGLKGEIPWEEGLKL
RINALKGIKYEDALKVAMQMKLMKGAKEACKTLKDAGWKLIAVSGGFDLA
TNKLKDELNLDYVFCNELVFNDGYLHGVNMKVTSDKAASVIPLIKELNVK
KENIVAVIDGANDLTLFNIAGLKIAFNAFDIVKRKADVVIDEKDLRLIIP
AIEKHYGTIKLKF
</t>
  </si>
  <si>
    <t>ATGCTTATCATATTTGATGTTGAAGGCGTTTTATATGACGCAGAGTATTT
ACCAATGCTTGCAAGGCTTGTCAATAAAGAAGATGAAATATTAAAAATTA
CCTTAAAAGGTTTGAAGGGAGAAATTCCTTGGGAGGAGGGATTAAAGCTT
AGAATAAACGCGCTTAAAGGAATAAAATATGAAGACGCTCTAAAAGTAGC
TATGCAAATGAAGTTAATGAAGGGTGCTAAAGAAGCTTGTAAAACATTAA
AAGATGCAGGATGGAAGCTTATAGCTGTTTCTGGTGGTTTTGATTTAGCA
ACTAATAAGTTGAAAGATGAATTAAATTTAGATTATGTTTTCTGTAATGA
GTTGGTCTTTAATGATGGATATTTGCATGGAGTAAATATGAAAGTAACTT
CTGATAAAGCAGCTTCAGTAATACCGTTGATAAAAGAACTTAACGTAAAA
AAAGAGAATATCGTTGCAGTGATTGATGGAGCAAATGATCTTACACTTTT
TAATATTGCAGGATTGAAAATAGCTTTTAATGCTTTTGATATTGTAAAAA
GGAAAGCAGATGTTGTCATAGATGAAAAAGATTTGAGACTTATAATCCCC
GCAATCGAAAAACATTACGGCACAATCAAATTAAAATTCTAA</t>
  </si>
  <si>
    <t xml:space="preserve"> glucose-6-phosphate</t>
  </si>
  <si>
    <t>H2S_exchange</t>
  </si>
  <si>
    <t>1 H2S = 1 H2S_ext</t>
  </si>
  <si>
    <t xml:space="preserve">1 HCO3 + 1 Proton = 1 CO2 + 1 H2O </t>
  </si>
  <si>
    <t>L-Alanine_ext + .33 Maintenance_energy = L-Alanine</t>
  </si>
  <si>
    <t>L-Aspartate_ext + .33 Maintenance_energy = L-Aspartate</t>
  </si>
  <si>
    <t>L-Glutamate_ext + .33 Maintenance_energy = L-Glutamate</t>
  </si>
  <si>
    <t>Glycine_ext + .33 Maintenance_energy = Glycine</t>
  </si>
  <si>
    <t>L-Proline_ext + .33 Maintenance_energy = L-Proline</t>
  </si>
  <si>
    <t>L-Glutamine_ext + .33 Maintenance_energy = L-Glutamine</t>
  </si>
  <si>
    <t>L-Threonine_ext + .33 Maintenance_energy = L-Threonine</t>
  </si>
  <si>
    <t>L-Tyrosine_ext + .33 Maintenance_energy = L-Tyrosine</t>
  </si>
  <si>
    <t>1 kg_biomass = 1 kg_biomass_EXT</t>
  </si>
  <si>
    <t>kg_biomass_EXT</t>
  </si>
  <si>
    <t>ID</t>
  </si>
  <si>
    <t>biomass_excrete</t>
  </si>
  <si>
    <t>1 AMP_ext = 1 AMP_deg</t>
  </si>
  <si>
    <t>1 GMP_ext = 1 GMP_deg</t>
  </si>
  <si>
    <t>1 UMP_ext = 1 UMP_deg</t>
  </si>
  <si>
    <t>1 CMP_ext = 1 CMP_deg</t>
  </si>
  <si>
    <t xml:space="preserve"> AMP_deg</t>
  </si>
  <si>
    <t xml:space="preserve"> UMP_deg</t>
  </si>
  <si>
    <t xml:space="preserve"> CMP_deg</t>
  </si>
  <si>
    <t xml:space="preserve"> GMP_deg</t>
  </si>
  <si>
    <t>rNA_deg_AMP_check</t>
  </si>
  <si>
    <t>rNA_deg_GMP_check</t>
  </si>
  <si>
    <t>rNA_deg_UMP_check</t>
  </si>
  <si>
    <t>rNA_deg_CMP_check</t>
  </si>
  <si>
    <t>1 AMP_deg = 1 AMP</t>
  </si>
  <si>
    <t>1 GMP_deg = 1 GMP</t>
  </si>
  <si>
    <t>1 UMP_deg = 1 UMP</t>
  </si>
  <si>
    <t>1 CMP_deg = 1 CMP</t>
  </si>
  <si>
    <t>AMP_deg</t>
  </si>
  <si>
    <t>C10H12N5O7P</t>
  </si>
  <si>
    <t>C9H12N3O8P</t>
  </si>
  <si>
    <t>CMP_deg</t>
  </si>
  <si>
    <t>C10H12N5O8P</t>
  </si>
  <si>
    <t>GMP_deg</t>
  </si>
  <si>
    <t>C9H11N2O9P</t>
  </si>
  <si>
    <t>UMP_deg</t>
  </si>
  <si>
    <t>#prevents arginine cycles</t>
  </si>
  <si>
    <t>#prevents phosphate cycling</t>
  </si>
  <si>
    <t>#prevents asparagine cycles</t>
  </si>
  <si>
    <t>#prevents cysteine cycles</t>
  </si>
  <si>
    <t>#prevents histidine cycles</t>
  </si>
  <si>
    <t>#prevents isoleucine cycles</t>
  </si>
  <si>
    <t>#prevent leucine cycles</t>
  </si>
  <si>
    <t>#prevents phenylalanine cycles</t>
  </si>
  <si>
    <t>#prevents p-hydroxyphenylpyruvate cycles</t>
  </si>
  <si>
    <t>#prevents tryptophan cycles</t>
  </si>
  <si>
    <t>#prevents phosphoenolpyruvate cycles</t>
  </si>
  <si>
    <t>Lactate + 2 ferricyt_c = Pyruvate + 2 ferrocyt_c + 2 Proton</t>
  </si>
  <si>
    <t>1 Lactate_ext = 1 Lactate</t>
  </si>
  <si>
    <t>L-Isoleucine_ext + .33 Maintenance_energy = L-Isoleucine</t>
  </si>
  <si>
    <t>L-Leucine_ext + .33 Maintenance_energy = L-Leucine</t>
  </si>
  <si>
    <t>L-Valine_ext + .33 Maintenance_energy = L-Valine</t>
  </si>
  <si>
    <t>L-Tryptophan_ext + .33 Maintenance_energy = L-Tryptophan</t>
  </si>
  <si>
    <t>L-Serine_ext + .33 Maintenance_energy = L-Serine</t>
  </si>
  <si>
    <t>L-Arginine_ext + .33 Maintenance_energy = L-Arginine</t>
  </si>
  <si>
    <t>L-Asparagine_ext + .33 Maintenance_energy = L-Asparagine</t>
  </si>
  <si>
    <t>L-Methionine_ext + .33 Maintenance_energy = L-Methionine</t>
  </si>
  <si>
    <t>L-Lysine_ext + .33 Maintenance_energy = L-Lysine</t>
  </si>
  <si>
    <t>L-Histidine_ext + .33 Maintenance_energy = L-Histidine</t>
  </si>
  <si>
    <t>L-Phenylalanine_ext + .33 Maintenance_energy = L-Phenylalanine</t>
  </si>
  <si>
    <t>L-Cysteine_ext + .33 Maintenance_energy = L-Cysteine</t>
  </si>
  <si>
    <t xml:space="preserve">1 CoA + 1 FADH2 + 4 H2O + 1 L-Tryptophan + 2 NAD + 3 O2 = 1 Acetyl-CoA + 2 CO2 + 1 FAD + 1 formate + 1 L-Alanine + 2 NADH + 1 NH3 + 4 Proton + 1 Pyruvate </t>
  </si>
  <si>
    <t xml:space="preserve">1 L-Phenylalanine + 1 NADH + 1 O2 + 1 Proton = 1 H2O + 1 L-Tyrosine + 1 NAD </t>
  </si>
  <si>
    <t xml:space="preserve">1 H2O + 1 L-Methionine = 1 2-Oxobutyrate + 1 methanethiol + 1 NH3 + 1 Proton </t>
  </si>
  <si>
    <t xml:space="preserve">1 2-Oxoglutarate + 1 ATP + 1 CoA + 1 H2O + 1 L-Lysine + 1 NADP + 1 O2 = 1 ADP + 1 CO2 + 1 glutaryl-coA + 1 L-Glutamate + 1 NADPH + 1 NH3 + 1 Phosphate + 3 Proton </t>
  </si>
  <si>
    <t xml:space="preserve">4 H2O + 1 L-Histidine = 1 formate + 1 L-Glutamate + 2 NH3 + 2 Proton </t>
  </si>
  <si>
    <t xml:space="preserve">1 H2O + 1 L-Asparagine = 1 L-Aspartate + 1 NH3 + 1 Proton </t>
  </si>
  <si>
    <t>L-Arginine + H2O = Ornithine + urea</t>
  </si>
  <si>
    <t>1 L-Serine = 1 NH3 + 1 Proton + 1 Pyruvate</t>
  </si>
  <si>
    <t xml:space="preserve">1 H2O + 1 L-Cysteine = 1 H2S + 1 NH3 + 1 Proton + 1 Pyruvate </t>
  </si>
  <si>
    <t>#prevents proline cycles</t>
  </si>
  <si>
    <t>#prevents methionine cycles</t>
  </si>
  <si>
    <t>carbonic_acid</t>
  </si>
  <si>
    <t>H2CO3 = CO2 + H2O</t>
  </si>
  <si>
    <t>formaldehyde_diffusion</t>
  </si>
  <si>
    <t>formate_diffusion</t>
  </si>
  <si>
    <t>formaldehyde = formaldehyde_ext</t>
  </si>
  <si>
    <t>formate = formate_ext</t>
  </si>
  <si>
    <t>formate_ext</t>
  </si>
  <si>
    <t>formaldehyde_ext</t>
  </si>
  <si>
    <t xml:space="preserve">1 Glyceraldehyde3-phosphate + 1 H2O + 1 NADP = 1 3-Phosphoglycerate + 1 NADPH + 2 Proton </t>
  </si>
  <si>
    <t>1.2.1.9</t>
  </si>
  <si>
    <t>cren1_8best_scaffolds_00018320</t>
  </si>
  <si>
    <t>MKLFSNFFDEILIEEEVPRFKTYLAGEWFAGEEWYNIKSPIDLKPIAKTP
KVPKDKLFEVLNKIHTKGKWSIRDTPGEKRLEIYNKIAGLLRELKEDFAK
AIVLNAGKTFFSARGEVEACIERLSRADLDVRKAYGEYIPGDWSSETLET
EAIVRREPLGIVFAIVPFNYPLFDTVNKFVYSTVIGNAIIIKPPSVVSLP
TLLFSKVVEKAGFPEDSFAVITNSPKDLYGILQDNRIGAISLTGNTSTGK
AVIKEAGIKQYVLELGGGDVAIVLDDAEIEHSAKRIAIGIYSYSGQRCDA
IKLILAYENVYDKLKEEIRNELSKVVVGDPRDPKTMMGPLIDEEAANKYE
EAIKDAIEKGCQIVYGGKRFNSNYVLPTLIEAEKSNLKNLLLYKEEVFAP
VSLIAKIKDLNEAIEISNGRNSGLDAAIFGKDINNIRKLIRYLEVGAIYI
NDYPRHGIGYFPIGGRKNSGIGREGIGYTIEYVTAYKTVIYNYKGKGIWE
YL
3</t>
  </si>
  <si>
    <t>ATGAAACTTTTCAGCAATTTCTTTGATGAAATTCTTATTGAAGAAGAGGT
TCCTAGATTTAAAACTTACTTAGCTGGAGAATGGTTTGCTGGAGAAGAAT
GGTATAACATAAAAAGTCCAATAGATCTAAAGCCTATAGCTAAAACTCCT
AAAGTTCCTAAAGATAAGCTATTCGAAGTTTTGAATAAAATTCATACAAA
AGGCAAATGGTCAATAAGAGATACGCCAGGGGAAAAGAGACTTGAAATTT
ATAACAAAATTGCTGGATTGCTAAGAGAATTGAAGGAGGACTTTGCAAAG
GCTATAGTATTGAATGCAGGAAAAACGTTTTTTTCAGCTAGAGGTGAAGT
AGAAGCATGCATAGAAAGGCTATCTAGAGCTGATCTTGATGTAAGAAAGG
CTTATGGAGAATACATTCCTGGAGACTGGAGTAGCGAAACATTGGAAACT
GAAGCGATAGTTAGAAGGGAACCTCTAGGAATTGTTTTCGCAATTGTTCC
TTTCAATTATCCTCTATTTGATACTGTAAACAAATTTGTTTACTCCACAG
TTATAGGTAATGCAATCATCATCAAACCTCCTTCAGTTGTATCCTTACCA
ACATTACTTTTCTCAAAGGTAGTTGAGAAGGCAGGTTTTCCTGAAGATTC
TTTCGCAGTTATAACAAACTCTCCTAAGGATTTATACGGGATTTTGCAGG
ATAACAGGATAGGAGCAATTTCTTTAACAGGCAACACATCCACAGGAAAA
GCGGTAATAAAAGAAGCTGGAATAAAGCAGTATGTTCTTGAACTAGGCGG
TGGAGACGTTGCTATAGTTCTTGATGACGCCGAAATTGAGCATAGCGCTA
AGAGGATAGCGATTGGAATATACAGTTATTCAGGACAAAGATGTGATGCA
ATAAAGTTAATTTTAGCTTATGAAAACGTTTACGATAAATTGAAGGAAGA
AATTAGGAATGAATTGAGCAAAGTAGTTGTAGGTGATCCAAGGGATCCAA
AAACTATGATGGGGCCTTTGATAGATGAAGAAGCAGCAAATAAGTATGAA
GAAGCTATTAAAGATGCTATTGAAAAAGGTTGCCAAATTGTTTACGGAGG
CAAGAGATTTAATTCTAACTACGTTTTACCAACCTTGATAGAAGCAGAGA
AGAGTAATTTGAAAAATCTCTTACTATACAAGGAAGAGGTTTTTGCACCT
GTCTCATTGATAGCAAAAATTAAAGATTTGAATGAAGCCATTGAAATCTC
AAATGGAAGAAATAGCGGCTTAGATGCTGCAATCTTCGGAAAGGATATAA
ACAATATAAGAAAACTAATCAGATACTTGGAAGTTGGAGCAATTTACATT
AATGATTATCCAAGACACGGAATAGGATACTTCCCGATTGGAGGAAGAAA
GAATTCAGGAATAGGAAGAGAAGGAATTGGATATACAATCGAATATGTTA
CTGCTTATAAAACGGTGATTTATAATTACAAAGGAAAGGGGATTTGGGAA
TATTTGTGA</t>
  </si>
  <si>
    <t>1 D-fructose-6-phosphate + 1 ATP = 1 D-fructose-1_6-bisphosphate + 1 ADP + 1 Proton</t>
  </si>
  <si>
    <t>2.7.1.11</t>
  </si>
  <si>
    <t>#prevents fructose6phosphate cycles</t>
  </si>
  <si>
    <t>#prevents glyceraldehyde 3 phosphate cycles</t>
  </si>
  <si>
    <t>assumed NAD/NADH due to lack of ferredoxin electron transport</t>
  </si>
  <si>
    <t>Glycolysis / Gluconeogenesis</t>
  </si>
  <si>
    <t>TCA Cycle / Fermentation Pathways</t>
  </si>
  <si>
    <t xml:space="preserve">1 Q + 1 Succinate = 1 QH2 + 1 Fumarate </t>
  </si>
  <si>
    <t xml:space="preserve">1 Q + 1 NADH + 5 Proton = 1 QH2 + 1 NAD + 4 proton_out </t>
  </si>
  <si>
    <t xml:space="preserve">1 QH2 + 2 ferricyt_c = 1 Q + 2 ferrocyt_c + 2 proton_out </t>
  </si>
  <si>
    <t xml:space="preserve">2 QH2 + 1 O2 + 4 Proton = 2 Q + 2 H2O + 4 proton_out </t>
  </si>
  <si>
    <t>QH2</t>
  </si>
  <si>
    <t>1 1_3-Bisphospho-D-glycerate + 1 NADH + 1 Proton = 1 Glyceraldehyde3-phosphate + 1 NAD + 1 Phosphate</t>
  </si>
  <si>
    <t>1 3-Phosphoglycerate = 1 2-Phospho-D-glycerate</t>
  </si>
  <si>
    <t>1 Citrate = 1 Isocitrate</t>
  </si>
  <si>
    <t>Pentose Phosphate Pathway</t>
  </si>
  <si>
    <t>Amino Acid Synthesis / Degradation</t>
  </si>
  <si>
    <t xml:space="preserve"> </t>
  </si>
  <si>
    <t>Lipid Synthesis / Degradation</t>
  </si>
  <si>
    <t>Nucleotide Synthesis / Degradation</t>
  </si>
  <si>
    <t>Electron Transport</t>
  </si>
  <si>
    <t>Transport / Miscellaneous</t>
  </si>
  <si>
    <t xml:space="preserve">1 Acetyl-CoA + 1 Succinate = 1 Acetate + 1 Succinyl-CoA </t>
  </si>
  <si>
    <t xml:space="preserve">1 2-Oxoglutarate + 1 CoA + 1 NAD = 1 CO2 + 1 NADH + 1 Succinyl-CoA </t>
  </si>
  <si>
    <t xml:space="preserve">1 5-10-Methylenetetrahydrofolate + 1 NADH + 1 Proton = 1 5-methyl-tetrahydrofolate + 1 NAD </t>
  </si>
  <si>
    <t>#prevents serine cycles</t>
  </si>
  <si>
    <t>B/C</t>
  </si>
  <si>
    <t>B/O</t>
  </si>
  <si>
    <t>P/ATP</t>
  </si>
  <si>
    <t>CGGACCTGACTGCTATCGGGGTGGGTAGCCATGCGAGTCTGCGTCACGGGCAACGTGACGCGGCGCACGGCTCAGTAAAACATGCTCAAACTGCCCTACAGACCGGGATAACCTCTGGAAACGGAGGATAATCCCGGATAGGTAAGAACTCTTGGAATAGGTTCTTACCGAAAGGGTGCGGCGCTGATGCCGCATCGCACCGCTGTAGGATGTGAGCATGGCCTATCAGGTTGATGGTGAGGTAACGGCTCACCATGCCTAAGACGGGTACGGGCCGTGATAGCGGGAGCCCGGAGATGGGTTCTGAGACAAGAACCCAGGCCCTACGGGGCGCAGCAGGCGCGAAACTTCTGCAATGCGCGAAAGCGCGACAGAGTCACCCCGAGTGCCATCCGCTGAGGATGGCTTTTGCCCTGTGTAAAAAGCAGGGCGAATAAGCGGGGGGCAAGTTCTGGTGTCAGCCGCCGCGGTAATACCAGCCCCGCGAGTGGTCAGGACGATTATTAAGCCTAAAGCGTCCGTAGCCGGCCTTGTAAGTTCTCCCTTAAATGGTATGGCTCAACCATACCGTTGGGGAGAATACTGCAAGGCTAGGGGGCGGGAGAGGCGGGTGGTACTTGAGGGGTAGTGGCAAAATACGATAATCCCTCAAGGACCACCAGTGGCGGAGGCGACCCGCTAGAACGCGCCCGACGGTGAGGGACGAAAGCTGGGGGAGCAAAAGGGATTAGAGACCCCTGTAGTCCCAGCTGTAAACTATGCGGGCTAAATGTTGGGTGAGGTTAGTCCTCACCCAGTGTTGCAGGGAAGCCGTTAAGCCCGCCGCTTGGGGAGTACGGCCGCAAGGCTGAAACTTAAAGGAATTGGCGGGGGAGCACCACAAGGGGTGGAGGCTGCGGTTCAATTGGAGTCAACGCCGGAAACCTTACCAGAGGCGACAGCAGGATGAAGGTCAGGCTAAAGACCTTACTAGACGAGCTGAGAGGAGGTGCATGGCCGTCGCCGGCTCGTGCCGTGAGGTGTCCGGTTAAGTCCGGAAACGAGCGAGACCCCCGCGCCTATTTGCGACGGTAACTATATTAGTTACCGGCACAATAGGCGGACTGCCGGCGTAAGCCGGAGGAAGGTGGGGGCTACGGCAGGTCAGTATGCCCCGAAACCTCTGGGCTACACGCGGCCTGCAATGGGTGGGACAATGGGTTACCGAACCCGAAAGGGGGAGGCAATCCCAGAAACCCACCCTCAGTCGGAATCGTGGGTTGCAACTCACCCACGTGAATCGCGGAATCCCTAGTAATCGCGCGTCACTATCGCGCGGTGAATACGTCCCTGTTCCTTGCACACACCGCCCGCCGCTCCACCCAAGCCGAACCTGAATGAGGGG</t>
  </si>
  <si>
    <t>ACTTACAGCGAAGCTCCTTGGTGGATGGCTTGGCTAAGGAGCCGAAGAAGGGCGCGGCAAGCAGCGATATGCCACGGGTAGGCGCAAGCAGCCGTTGATCCGTGGATCCCTGAATGAGTATCTCGGCCTTACCTTTTAAGGGTAAGGTCGCCCTCTAAAGGGCGGGAATCCCCCGAACGGAAACATCTTAGTAGGGGGAAGAGGAGAAACCAATTGGGATGCCCTTAGTAGCGGCGAGCGAAAGGGGCAGAGTTCAAATCGAACCCTTACCAGATAATGGTAGGGGGATGTAAGGTTGTGGATTCATTCGATAGCCCTAGTCTAGTTAGCCGAAGTGGGCTGGAATGCCCTCCCATAGAGGGTGACAGGCCCGTAGGCAATAACTAGACGGGCTAAATGAGAATGAACTCCAGAGTACCACACCTTGGTTTTGGTGTGGGAAGCTGGGGGGCATCAACCTCCAAAACTAAATACTCCCTTAGACCGATAGCGCACCAGTACCGTGAGGGAAAGCTGAAAAGAACCCCGGGAGGGGTGTGAAAAGAGCCTGAAACCAAGGAGCTACAGGCGATATGGTCCGAAAGGAATGATTTTGCTTATACCCTTATGTGAGAGCATAGGGGTGTAAGCAAAAGACCGGGATCATATCTTACGTCTAGAAACACGGGCCAGGGAGTTCAGGGTTGTGGCAAGCCTAAGGGGTCTAACCCCGGAGGCGAAGGGAAACCGAGTCCTCGCAGTAGATGCCTCTATATATTACTAGTGTCCTAAATTGGAGGAAACGATGAAGATTTAGGATGCTAGTAATATACAAGCATCTACGAGGAGGAGGGTTTTAATAGAGCCTAAGTCACAACCCTGAGACCCGAAACCGAGCGATCTAGGCCTGGGCAAGGCGAAGCTGGGCGAAAGCCCAGTGGAGGCCTGAATAGGGGTGCTGACGTGCAAATCGCTCCCCTGACCTGGGCCTAGGGGCAATAGACCAATCAAGCTCGGTGATAGCTGGTTCCCCCCGAAGCTGGTCCCAGCCAGGCCCTCCTGGAGATCCATTAAGGTGTAGAGCTACCGATCGTTGGTCAAGGGCCGAAAGGTCCTGACCGACGGTCGAACTCCGAAGCCTTAATGATCGAAGAAGGGAGGAGACGGGTTTCGCGGGATAAGCCTGCGAGCCGAAAGGGGGACAACCCAACCTAGAGTTAAGGTCCCTAAATGCCGGCTAAGTGTCAAGCACAAAGGGCGTCATCGTCCTGAGACAGCCGGGAGGTAGGCTTAGAAGCAGTTAACCTCTAAGGAGTGCGTAACAGCTCACCGGCCGAGGACGGTGGCTCCGAAAATTGACGGGACTTAAGCCGGCTACCGAGACTCTAGGACGTACCTTGAAGTAAGGTACGATTCGGTAGGGGGGCATCATGATCGGGCAGAAGCCGGGCTGTGAAGTCCGGTGGACCGATCATGAAAGCGAATCCTGGTAGTAGTAACAGCGAAGCTGGGTGAGAATCCCAGCCGCCGGAAGGGCCAGGGTTCCTCGGCAATGCGTCATCAGCCGAGGGTTAGCCGCTCCTAAGGGTGGCCTTAACTGGTTCACCCGAAAGGGAAAACGGTTAATATTCCGTTGCTAAGGGCTTACGTTTCGTGGCAACACTAAGCCATGTTCCAGACGGGTAGGGATAGGCCATGTAGGGCTGTCGCCCTACTTAACTTGCGAACCGCAAGGAGTGTCGTAATGACGAGAATTGCGGGAAGCAAGGAATAGCCCTCCTTGTGAGGGTATGGCTGATTCCCTGCCCCCGTGAAAATGGAACATGGAAGGATAGCCCTTAAGCGTACCTAGATCCGACACAGGTGCCCCTGGCTTAGAAGGCCAAGGCGTCTCCGGGTACTCCAGGCCAAGGAACTAGGCAAATTGGCCCCGTACCTTCGGTAGAAGGGGTGCCTGGAATCCTTAGCTTTTGCTAGGGATTCTAGGTCGCAGTGACAAGGAGGTCCCGACTGTTTAATAAAAACATAGGTCCCCGCGAGCCCGAAAGGGTGAGTACGGGGGCTGAATCCTGGCCACTGGCGGTACGCGAACCCCGGGTTCAACCGGGCTAAGCGCCGCTGAAGGCCGGGAGTAACTCTGACTCTCTTAAGGTAGCCAAATGCCTTGTCGGGTAAGTTCCGACGTGCATGAATGGATCAACGAGGGCCTCACTGTCTCGGCCTGGAGCCGGGTGAACCTGCAACCTAGTGCACAGTCTAGGGACCCCCGATGGGGCGAGAAGACCCCGTGGAGCTTTACTGCAGCCTCAAGCTGTGATATCTTTCCTGCTGCGTAGAGTAGACGGGAGCCCATGAAGTATGTTCTCTGGGACATATGGAGGCGAAAGTGAAACACCGTCCAGCGGGAAGGATATCACTAACCTGGTTTCAGGGACAACTTGAGGTGGGCAGTTCGGCTGGGGCGGCACGCCCCCGACAAAGAATCGGGGACGTCCAAAGGTCAGCTCAGGCAGGTCAGAAACCTGCCGTGGAGGACAAGGCCAAATGCTGGCCTGATTGGTTTCCTAACTGCACGGAAACCAAGGGCGAAAGCCTGGCCTAGCGAACGCTTATGTCCCCTTTGATGGGGGCTAGGCATGACGGAAAAGCTACCCCGGGAGTAACCGGCTCGTCGCGGGCGAGAGCTCACATCGACCCCGCGGTTTGGTACCCAGACGTCGTCTCTTCCCATCCTGGGGACGCAGCTGTCCCCAAGGGTAGGGCTGCCCGCCCGTTAAAGGGAACCGTGAGATGGGTTTAGACCGTCGTGAGACAGGTCGGTCTCTACCTATCGGGGGCGTAGGCTATTTGAGGCGAAGGTGTTCCCAGTACGAGAGGAACGGAACACCGCCGCCTCTGGTGAACCAGCTGTCCGATAGGGCAAGCTGGGTAGCCACGCGGTAAGGGCTAAAGGCTGAAAGCATCTAAGCCTGAAGCCCTCGCCGAGACTAAATAGCCACTCCCTTTGGTCTAAAAAGCCAAAGGGATAAGGACTCCAGCAAAACACTGGGTTGATAGGGCGGAGGTGTAAGCACCAAGGCCGAAAGGCCGAGGTGTTTAGCCTACCGCTACTAATCGTCCGAAGTAAGTAC</t>
  </si>
  <si>
    <t>degree of reduction</t>
  </si>
  <si>
    <t>(D44*12.01)+(E44*1.008)+(F44*14.01)+(G44*16)+(H44*30.97)+(I44*32.07)</t>
  </si>
  <si>
    <t>phosphate</t>
  </si>
  <si>
    <t>Ash</t>
  </si>
  <si>
    <t>#either complex 4 or bd terminal oxidase</t>
  </si>
  <si>
    <t>#either formaldehyde oxidation or excretion</t>
  </si>
  <si>
    <t>#either formate oxidation or excretion</t>
  </si>
  <si>
    <t>6_7_8-dihydrobiopterin + NADH + Proton = NAD + tetrahydrobiopterin</t>
  </si>
  <si>
    <t>isobutyryl-CoA + FAD + Proton = FADH2 + methylacrylyl-CoA</t>
  </si>
  <si>
    <t>methylacrylyl-CoA + H2O = 3-hydroxy-isobutanoyl-CoA</t>
  </si>
  <si>
    <t>3-hydroxy-isobutanoyl-CoA + H2O = CoA + Proton + 3-hydroxy-isobutanoate</t>
  </si>
  <si>
    <t>3-hydroxy-isobutanoate + NAD = NADH + Proton + methylmalonate-semialdehyde</t>
  </si>
  <si>
    <t>isobutyrylCoA_deg_cond</t>
  </si>
  <si>
    <t>formyl-CoA + H2O = Proton + CoA + formate</t>
  </si>
  <si>
    <t>pristanal + H2O + NAD = 2 Proton + NADH + pristanic_acid</t>
  </si>
  <si>
    <t>6.2.1.3</t>
  </si>
  <si>
    <t>3.1.2.10</t>
  </si>
  <si>
    <t>1.2.1.3</t>
  </si>
  <si>
    <t>2-hydroxyphytanoyl-CoA = formyl-CoA + pristanal</t>
  </si>
  <si>
    <t>caldarchaeol_di-P</t>
  </si>
  <si>
    <t>tetrahydrobiopterin</t>
  </si>
  <si>
    <t>6_7_8-dihydrobiopterin</t>
  </si>
  <si>
    <t>phytanal</t>
  </si>
  <si>
    <t>phytanic_acid</t>
  </si>
  <si>
    <t>phytanoyl_CoA</t>
  </si>
  <si>
    <t>2-hydroxyphytanoyl-CoA</t>
  </si>
  <si>
    <t>formyl-CoA</t>
  </si>
  <si>
    <t>pristanal</t>
  </si>
  <si>
    <t>pristanic_acid</t>
  </si>
  <si>
    <t>pristanoyl_CoA</t>
  </si>
  <si>
    <t>isobutyryl-CoA</t>
  </si>
  <si>
    <r>
      <t>C</t>
    </r>
    <r>
      <rPr>
        <vertAlign val="subscript"/>
        <sz val="11"/>
        <color theme="1"/>
        <rFont val="Calibri"/>
        <family val="2"/>
        <scheme val="minor"/>
      </rPr>
      <t>43</t>
    </r>
    <r>
      <rPr>
        <sz val="11"/>
        <color theme="1"/>
        <rFont val="Calibri"/>
        <family val="2"/>
        <scheme val="minor"/>
      </rPr>
      <t>H</t>
    </r>
    <r>
      <rPr>
        <vertAlign val="subscript"/>
        <sz val="11"/>
        <color theme="1"/>
        <rFont val="Calibri"/>
        <family val="2"/>
        <scheme val="minor"/>
      </rPr>
      <t>87</t>
    </r>
    <r>
      <rPr>
        <sz val="11"/>
        <color theme="1"/>
        <rFont val="Calibri"/>
        <family val="2"/>
        <scheme val="minor"/>
      </rPr>
      <t>O</t>
    </r>
    <r>
      <rPr>
        <vertAlign val="subscript"/>
        <sz val="11"/>
        <color theme="1"/>
        <rFont val="Calibri"/>
        <family val="2"/>
        <scheme val="minor"/>
      </rPr>
      <t>6</t>
    </r>
    <r>
      <rPr>
        <sz val="11"/>
        <color theme="1"/>
        <rFont val="Calibri"/>
        <family val="2"/>
        <scheme val="minor"/>
      </rPr>
      <t>P</t>
    </r>
  </si>
  <si>
    <t xml:space="preserve">CC(C)CCCC(C)CCCC(C)CCCC(C)CCOCC(COP([O-])([O-])=O)OCCC(C)CCCC(C)CCCC(C)CCCC(C)C </t>
  </si>
  <si>
    <r>
      <t>C</t>
    </r>
    <r>
      <rPr>
        <vertAlign val="subscript"/>
        <sz val="11"/>
        <color theme="1"/>
        <rFont val="Calibri"/>
        <family val="2"/>
        <scheme val="minor"/>
      </rPr>
      <t>9</t>
    </r>
    <r>
      <rPr>
        <sz val="11"/>
        <color theme="1"/>
        <rFont val="Calibri"/>
        <family val="2"/>
        <scheme val="minor"/>
      </rPr>
      <t>H</t>
    </r>
    <r>
      <rPr>
        <vertAlign val="subscript"/>
        <sz val="11"/>
        <color theme="1"/>
        <rFont val="Calibri"/>
        <family val="2"/>
        <scheme val="minor"/>
      </rPr>
      <t>15</t>
    </r>
    <r>
      <rPr>
        <sz val="11"/>
        <color theme="1"/>
        <rFont val="Calibri"/>
        <family val="2"/>
        <scheme val="minor"/>
      </rPr>
      <t>N</t>
    </r>
    <r>
      <rPr>
        <vertAlign val="subscript"/>
        <sz val="11"/>
        <color theme="1"/>
        <rFont val="Calibri"/>
        <family val="2"/>
        <scheme val="minor"/>
      </rPr>
      <t>5</t>
    </r>
    <r>
      <rPr>
        <sz val="11"/>
        <color theme="1"/>
        <rFont val="Calibri"/>
        <family val="2"/>
        <scheme val="minor"/>
      </rPr>
      <t>O</t>
    </r>
    <r>
      <rPr>
        <vertAlign val="subscript"/>
        <sz val="11"/>
        <color theme="1"/>
        <rFont val="Calibri"/>
        <family val="2"/>
        <scheme val="minor"/>
      </rPr>
      <t>3</t>
    </r>
  </si>
  <si>
    <t>CC(O)C(O)[CH]1(CNC2(N=C(N)NC(C(N1)=2)=O))</t>
  </si>
  <si>
    <r>
      <t>C</t>
    </r>
    <r>
      <rPr>
        <vertAlign val="subscript"/>
        <sz val="11"/>
        <color theme="1"/>
        <rFont val="Calibri"/>
        <family val="2"/>
        <scheme val="minor"/>
      </rPr>
      <t>9</t>
    </r>
    <r>
      <rPr>
        <sz val="11"/>
        <color theme="1"/>
        <rFont val="Calibri"/>
        <family val="2"/>
        <scheme val="minor"/>
      </rPr>
      <t>H</t>
    </r>
    <r>
      <rPr>
        <vertAlign val="subscript"/>
        <sz val="11"/>
        <color theme="1"/>
        <rFont val="Calibri"/>
        <family val="2"/>
        <scheme val="minor"/>
      </rPr>
      <t>13</t>
    </r>
    <r>
      <rPr>
        <sz val="11"/>
        <color theme="1"/>
        <rFont val="Calibri"/>
        <family val="2"/>
        <scheme val="minor"/>
      </rPr>
      <t>N</t>
    </r>
    <r>
      <rPr>
        <vertAlign val="subscript"/>
        <sz val="11"/>
        <color theme="1"/>
        <rFont val="Calibri"/>
        <family val="2"/>
        <scheme val="minor"/>
      </rPr>
      <t>5</t>
    </r>
    <r>
      <rPr>
        <sz val="11"/>
        <color theme="1"/>
        <rFont val="Calibri"/>
        <family val="2"/>
        <scheme val="minor"/>
      </rPr>
      <t>O</t>
    </r>
    <r>
      <rPr>
        <vertAlign val="subscript"/>
        <sz val="11"/>
        <color theme="1"/>
        <rFont val="Calibri"/>
        <family val="2"/>
        <scheme val="minor"/>
      </rPr>
      <t>3</t>
    </r>
  </si>
  <si>
    <t xml:space="preserve">CC(O)C(O)C2(CNC1(N=C(NC(C=1N=2)=O)N)) </t>
  </si>
  <si>
    <t xml:space="preserve">CC(C)CCCC(C)CCCC(C)CCCC(C)=C[CH]=O </t>
  </si>
  <si>
    <r>
      <t>C</t>
    </r>
    <r>
      <rPr>
        <vertAlign val="subscript"/>
        <sz val="11"/>
        <color theme="1"/>
        <rFont val="Calibri"/>
        <family val="2"/>
        <scheme val="minor"/>
      </rPr>
      <t>20</t>
    </r>
    <r>
      <rPr>
        <sz val="11"/>
        <color theme="1"/>
        <rFont val="Calibri"/>
        <family val="2"/>
        <scheme val="minor"/>
      </rPr>
      <t>H</t>
    </r>
    <r>
      <rPr>
        <vertAlign val="subscript"/>
        <sz val="11"/>
        <color theme="1"/>
        <rFont val="Calibri"/>
        <family val="2"/>
        <scheme val="minor"/>
      </rPr>
      <t>39</t>
    </r>
    <r>
      <rPr>
        <sz val="11"/>
        <color theme="1"/>
        <rFont val="Calibri"/>
        <family val="2"/>
        <scheme val="minor"/>
      </rPr>
      <t>O</t>
    </r>
    <r>
      <rPr>
        <vertAlign val="subscript"/>
        <sz val="11"/>
        <color theme="1"/>
        <rFont val="Calibri"/>
        <family val="2"/>
        <scheme val="minor"/>
      </rPr>
      <t>2</t>
    </r>
  </si>
  <si>
    <t xml:space="preserve">CC(C)CCCC(C)CCCC(C)CCCC(C)CC(=O)[O-] </t>
  </si>
  <si>
    <r>
      <t>C</t>
    </r>
    <r>
      <rPr>
        <vertAlign val="subscript"/>
        <sz val="11"/>
        <color theme="1"/>
        <rFont val="Calibri"/>
        <family val="2"/>
        <scheme val="minor"/>
      </rPr>
      <t>41</t>
    </r>
    <r>
      <rPr>
        <sz val="11"/>
        <color theme="1"/>
        <rFont val="Calibri"/>
        <family val="2"/>
        <scheme val="minor"/>
      </rPr>
      <t>H</t>
    </r>
    <r>
      <rPr>
        <vertAlign val="subscript"/>
        <sz val="11"/>
        <color theme="1"/>
        <rFont val="Calibri"/>
        <family val="2"/>
        <scheme val="minor"/>
      </rPr>
      <t>70</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17</t>
    </r>
    <r>
      <rPr>
        <sz val="11"/>
        <color theme="1"/>
        <rFont val="Calibri"/>
        <family val="2"/>
        <scheme val="minor"/>
      </rPr>
      <t>P</t>
    </r>
    <r>
      <rPr>
        <vertAlign val="subscript"/>
        <sz val="11"/>
        <color theme="1"/>
        <rFont val="Calibri"/>
        <family val="2"/>
        <scheme val="minor"/>
      </rPr>
      <t>3</t>
    </r>
    <r>
      <rPr>
        <sz val="11"/>
        <color theme="1"/>
        <rFont val="Calibri"/>
        <family val="2"/>
        <scheme val="minor"/>
      </rPr>
      <t>S</t>
    </r>
  </si>
  <si>
    <t>CC(C)CCCC(C)CCCC(C)CCCC(C)CC(SCCNC(=O)CCNC(=O)C(O)C(C)(C)COP(=O)(OP(=O)(OCC1(C(OP([O-])(=O)[O-])C(O)C(O1)N3(C2(=C(C(N)=NC=N2)N=C3))))[O-])[O-])=O</t>
  </si>
  <si>
    <r>
      <t>C</t>
    </r>
    <r>
      <rPr>
        <vertAlign val="subscript"/>
        <sz val="11"/>
        <color theme="1"/>
        <rFont val="Calibri"/>
        <family val="2"/>
        <scheme val="minor"/>
      </rPr>
      <t>41</t>
    </r>
    <r>
      <rPr>
        <sz val="11"/>
        <color theme="1"/>
        <rFont val="Calibri"/>
        <family val="2"/>
        <scheme val="minor"/>
      </rPr>
      <t>H</t>
    </r>
    <r>
      <rPr>
        <vertAlign val="subscript"/>
        <sz val="11"/>
        <color theme="1"/>
        <rFont val="Calibri"/>
        <family val="2"/>
        <scheme val="minor"/>
      </rPr>
      <t>70</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18</t>
    </r>
    <r>
      <rPr>
        <sz val="11"/>
        <color theme="1"/>
        <rFont val="Calibri"/>
        <family val="2"/>
        <scheme val="minor"/>
      </rPr>
      <t>P</t>
    </r>
    <r>
      <rPr>
        <vertAlign val="subscript"/>
        <sz val="11"/>
        <color theme="1"/>
        <rFont val="Calibri"/>
        <family val="2"/>
        <scheme val="minor"/>
      </rPr>
      <t>3</t>
    </r>
    <r>
      <rPr>
        <sz val="11"/>
        <color theme="1"/>
        <rFont val="Calibri"/>
        <family val="2"/>
        <scheme val="minor"/>
      </rPr>
      <t>S</t>
    </r>
  </si>
  <si>
    <t xml:space="preserve"> CC(C)CCCC(C)CCCC(C)CCCC(C)C(O)C(=O)SCCNC(=O)CCNC(=O)C(O)C(C)(C)COP(=O)(OP(=O)(OCC1(C(OP([O-])(=O)[O-])C(O)C(O1)N3(C2(=C(C(N)=NC=N2)N=C3))))[O-])[O-] </t>
  </si>
  <si>
    <r>
      <t>C</t>
    </r>
    <r>
      <rPr>
        <vertAlign val="subscript"/>
        <sz val="11"/>
        <color theme="1"/>
        <rFont val="Calibri"/>
        <family val="2"/>
        <scheme val="minor"/>
      </rPr>
      <t>22</t>
    </r>
    <r>
      <rPr>
        <sz val="11"/>
        <color theme="1"/>
        <rFont val="Calibri"/>
        <family val="2"/>
        <scheme val="minor"/>
      </rPr>
      <t>H</t>
    </r>
    <r>
      <rPr>
        <vertAlign val="subscript"/>
        <sz val="11"/>
        <color theme="1"/>
        <rFont val="Calibri"/>
        <family val="2"/>
        <scheme val="minor"/>
      </rPr>
      <t>32</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17</t>
    </r>
    <r>
      <rPr>
        <sz val="11"/>
        <color theme="1"/>
        <rFont val="Calibri"/>
        <family val="2"/>
        <scheme val="minor"/>
      </rPr>
      <t>P</t>
    </r>
    <r>
      <rPr>
        <vertAlign val="subscript"/>
        <sz val="11"/>
        <color theme="1"/>
        <rFont val="Calibri"/>
        <family val="2"/>
        <scheme val="minor"/>
      </rPr>
      <t>3</t>
    </r>
    <r>
      <rPr>
        <sz val="11"/>
        <color theme="1"/>
        <rFont val="Calibri"/>
        <family val="2"/>
        <scheme val="minor"/>
      </rPr>
      <t>S</t>
    </r>
  </si>
  <si>
    <t xml:space="preserve">CC(C)(C(O)C(=O)NCCC(=O)NCCS[CH]=O)COP(=O)(OP(=O)(OCC1(C(OP([O-])(=O)[O-])C(O)C(O1)N3(C2(=C(C(N)=NC=N2)N=C3))))[O-])[O-] </t>
  </si>
  <si>
    <r>
      <t>C</t>
    </r>
    <r>
      <rPr>
        <vertAlign val="subscript"/>
        <sz val="11"/>
        <color theme="1"/>
        <rFont val="Calibri"/>
        <family val="2"/>
        <scheme val="minor"/>
      </rPr>
      <t>19</t>
    </r>
    <r>
      <rPr>
        <sz val="11"/>
        <color theme="1"/>
        <rFont val="Calibri"/>
        <family val="2"/>
        <scheme val="minor"/>
      </rPr>
      <t>H</t>
    </r>
    <r>
      <rPr>
        <vertAlign val="subscript"/>
        <sz val="11"/>
        <color theme="1"/>
        <rFont val="Calibri"/>
        <family val="2"/>
        <scheme val="minor"/>
      </rPr>
      <t>38</t>
    </r>
    <r>
      <rPr>
        <sz val="11"/>
        <color theme="1"/>
        <rFont val="Calibri"/>
        <family val="2"/>
        <scheme val="minor"/>
      </rPr>
      <t>O</t>
    </r>
  </si>
  <si>
    <t xml:space="preserve">CC(C)CCCC(C)CCCC(C)CCCC(C)[CH]=O </t>
  </si>
  <si>
    <r>
      <t>C</t>
    </r>
    <r>
      <rPr>
        <vertAlign val="subscript"/>
        <sz val="11"/>
        <color theme="1"/>
        <rFont val="Calibri"/>
        <family val="2"/>
        <scheme val="minor"/>
      </rPr>
      <t>19</t>
    </r>
    <r>
      <rPr>
        <sz val="11"/>
        <color theme="1"/>
        <rFont val="Calibri"/>
        <family val="2"/>
        <scheme val="minor"/>
      </rPr>
      <t>H</t>
    </r>
    <r>
      <rPr>
        <vertAlign val="subscript"/>
        <sz val="11"/>
        <color theme="1"/>
        <rFont val="Calibri"/>
        <family val="2"/>
        <scheme val="minor"/>
      </rPr>
      <t>37</t>
    </r>
    <r>
      <rPr>
        <sz val="11"/>
        <color theme="1"/>
        <rFont val="Calibri"/>
        <family val="2"/>
        <scheme val="minor"/>
      </rPr>
      <t>O</t>
    </r>
    <r>
      <rPr>
        <vertAlign val="subscript"/>
        <sz val="11"/>
        <color theme="1"/>
        <rFont val="Calibri"/>
        <family val="2"/>
        <scheme val="minor"/>
      </rPr>
      <t>2</t>
    </r>
  </si>
  <si>
    <t xml:space="preserve">CC(CCCC(CCCC(C)CCCC(C([O-])=O)C)C)C </t>
  </si>
  <si>
    <r>
      <t>C</t>
    </r>
    <r>
      <rPr>
        <vertAlign val="subscript"/>
        <sz val="11"/>
        <color theme="1"/>
        <rFont val="Calibri"/>
        <family val="2"/>
        <scheme val="minor"/>
      </rPr>
      <t>40</t>
    </r>
    <r>
      <rPr>
        <sz val="11"/>
        <color theme="1"/>
        <rFont val="Calibri"/>
        <family val="2"/>
        <scheme val="minor"/>
      </rPr>
      <t>H</t>
    </r>
    <r>
      <rPr>
        <vertAlign val="subscript"/>
        <sz val="11"/>
        <color theme="1"/>
        <rFont val="Calibri"/>
        <family val="2"/>
        <scheme val="minor"/>
      </rPr>
      <t>68</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17</t>
    </r>
    <r>
      <rPr>
        <sz val="11"/>
        <color theme="1"/>
        <rFont val="Calibri"/>
        <family val="2"/>
        <scheme val="minor"/>
      </rPr>
      <t>P</t>
    </r>
    <r>
      <rPr>
        <vertAlign val="subscript"/>
        <sz val="11"/>
        <color theme="1"/>
        <rFont val="Calibri"/>
        <family val="2"/>
        <scheme val="minor"/>
      </rPr>
      <t>3</t>
    </r>
    <r>
      <rPr>
        <sz val="11"/>
        <color theme="1"/>
        <rFont val="Calibri"/>
        <family val="2"/>
        <scheme val="minor"/>
      </rPr>
      <t>S</t>
    </r>
  </si>
  <si>
    <t xml:space="preserve">CC(C)CCCC(C)CCCC(C)CCCC(C)C(=O)SCCNC(=O)CCNC(=O)C(O)C(C)(C)COP(=O)(OP(=O)(OCC1(C(OP([O-])(=O)[O-])C(O)C(O1)N3(C2(=C(C(N)=NC=N2)N=C3))))[O-])[O-] </t>
  </si>
  <si>
    <r>
      <t>C</t>
    </r>
    <r>
      <rPr>
        <vertAlign val="subscript"/>
        <sz val="11"/>
        <color theme="1"/>
        <rFont val="Calibri"/>
        <family val="2"/>
        <scheme val="minor"/>
      </rPr>
      <t>25</t>
    </r>
    <r>
      <rPr>
        <sz val="11"/>
        <color theme="1"/>
        <rFont val="Calibri"/>
        <family val="2"/>
        <scheme val="minor"/>
      </rPr>
      <t>H</t>
    </r>
    <r>
      <rPr>
        <vertAlign val="subscript"/>
        <sz val="11"/>
        <color theme="1"/>
        <rFont val="Calibri"/>
        <family val="2"/>
        <scheme val="minor"/>
      </rPr>
      <t>38</t>
    </r>
    <r>
      <rPr>
        <sz val="11"/>
        <color theme="1"/>
        <rFont val="Calibri"/>
        <family val="2"/>
        <scheme val="minor"/>
      </rPr>
      <t>N</t>
    </r>
    <r>
      <rPr>
        <vertAlign val="subscript"/>
        <sz val="11"/>
        <color theme="1"/>
        <rFont val="Calibri"/>
        <family val="2"/>
        <scheme val="minor"/>
      </rPr>
      <t>7</t>
    </r>
    <r>
      <rPr>
        <sz val="11"/>
        <color theme="1"/>
        <rFont val="Calibri"/>
        <family val="2"/>
        <scheme val="minor"/>
      </rPr>
      <t>O</t>
    </r>
    <r>
      <rPr>
        <vertAlign val="subscript"/>
        <sz val="11"/>
        <color theme="1"/>
        <rFont val="Calibri"/>
        <family val="2"/>
        <scheme val="minor"/>
      </rPr>
      <t>17</t>
    </r>
    <r>
      <rPr>
        <sz val="11"/>
        <color theme="1"/>
        <rFont val="Calibri"/>
        <family val="2"/>
        <scheme val="minor"/>
      </rPr>
      <t>P</t>
    </r>
    <r>
      <rPr>
        <vertAlign val="subscript"/>
        <sz val="11"/>
        <color theme="1"/>
        <rFont val="Calibri"/>
        <family val="2"/>
        <scheme val="minor"/>
      </rPr>
      <t>3</t>
    </r>
    <r>
      <rPr>
        <sz val="11"/>
        <color theme="1"/>
        <rFont val="Calibri"/>
        <family val="2"/>
        <scheme val="minor"/>
      </rPr>
      <t>S</t>
    </r>
  </si>
  <si>
    <t xml:space="preserve">CC(C(SCCNC(=O)CCNC(=O)C(O)C(C)(C)COP(=O)(OP(=O)(OCC1(C(OP([O-])(=O)[O-])C(O)C(O1)N3(C2(=C(C(N)=NC=N2)N=C3))))[O-])[O-])=O)C </t>
  </si>
  <si>
    <t>2_3-bis-O-phytanyl-sn-glycerol_1-phosphate</t>
  </si>
  <si>
    <t>caldarchaeol_di-P + 2 NADH + 2 Proton = 2 2_3-bis-O-phytanyl-sn-glycerol_1-phosphate + 2 NAD</t>
  </si>
  <si>
    <t>phytanic_acid + ATP + CoA = PPi + AMP + phytanoyl_CoA</t>
  </si>
  <si>
    <t>pristanic_acid + ATP + CoA = pristanoyl_CoA + AMP + PPi</t>
  </si>
  <si>
    <t>phytanoyl_CoA + O2 + 2-Oxoglutarate = CO2 + Succinate + 2-hydroxyphytanoyl-CoA</t>
  </si>
  <si>
    <t>----</t>
  </si>
  <si>
    <r>
      <t>C</t>
    </r>
    <r>
      <rPr>
        <vertAlign val="subscript"/>
        <sz val="11"/>
        <color theme="1"/>
        <rFont val="Calibri"/>
        <family val="2"/>
        <scheme val="minor"/>
      </rPr>
      <t>20</t>
    </r>
    <r>
      <rPr>
        <sz val="11"/>
        <color theme="1"/>
        <rFont val="Calibri"/>
        <family val="2"/>
        <scheme val="minor"/>
      </rPr>
      <t>H</t>
    </r>
    <r>
      <rPr>
        <vertAlign val="subscript"/>
        <sz val="11"/>
        <color theme="1"/>
        <rFont val="Calibri"/>
        <family val="2"/>
        <scheme val="minor"/>
      </rPr>
      <t>40</t>
    </r>
    <r>
      <rPr>
        <sz val="11"/>
        <color theme="1"/>
        <rFont val="Calibri"/>
        <family val="2"/>
        <scheme val="minor"/>
      </rPr>
      <t>O</t>
    </r>
  </si>
  <si>
    <t>2_3-bis-O-phytanyl-sn-glycerol_1-phosphate  + 2 tetrahydrobiopterin + 2 O2 = 2 6_7_8-dihydrobiopterin + 2 H2O + 1 sn-glycerol-1-P + 2 phytanal</t>
  </si>
  <si>
    <t>phytanal + H2O + NAD = NADH + 2 Proton + phytanic_acid</t>
  </si>
  <si>
    <t>pristanoyl_CoA + 6 FAD + 6 H2O + 6 NAD + 6 CoA = 3 propanoyl-CoA + 3 Acetyl-CoA + isobutyryl-CoA + 6 NADH + 6 FADH2 + 6 Proton</t>
  </si>
  <si>
    <t xml:space="preserve">1 myell_lipid_ext + 1 ATP + 1 H2O = 1 caldarchaeol_di-P + 1 ADP + 1 Phosphate + 1 Proton </t>
  </si>
  <si>
    <t xml:space="preserve"> caldarchaeol_di-P</t>
  </si>
  <si>
    <t>isobutyryl-CoA + FAD + 3 H2O + 2 NAD = 2 NADH + FADH2 + 3 Proton + propanoyl-CoA + HCO3</t>
  </si>
  <si>
    <t>compressed</t>
  </si>
  <si>
    <t>methylmalonate-semialdehyde + H2O + NAD + CoA = NADH + Proton + HCO3 + propanoyl-CoA</t>
  </si>
  <si>
    <t>Reaction Equivalents</t>
  </si>
  <si>
    <t>3-phospho-D-glycerate + NAD+ = 3-phospho-hydroxypyruvate + NADH + H+</t>
  </si>
  <si>
    <t>3-phospho-L-serine + 2-oxoglutarate = L-glutamate + 3-phospho-hydroxypyruvate</t>
  </si>
  <si>
    <t>3-phospho-L-serine + H20 = L-serine + phosphate</t>
  </si>
  <si>
    <t>(S)-3-methyl-2-oxopentanoate + coenzyme A + NAD+ = 2-methylbutanoyl-CoA + CO2 + NADH</t>
  </si>
  <si>
    <t>2-methylbutanoyl-CoA + an oxidized electron-transfer flavoprotein = €-2-methylcrotonoyl-CoA + a reduced electron-transfer flavoprotein</t>
  </si>
  <si>
    <t>2-methyl-3-hydroxybutyryl-CoA = €-2-methylcrotonoyl-CoA + H2O</t>
  </si>
  <si>
    <t>2-methyl-3-hydroxybutyryl-CoA + NAD+ = 2-methylacetoacetyl-CoA + NADH + H+</t>
  </si>
  <si>
    <t>2-methylacetoacetyl-CoA + coenzyme A = propanoyl-CoA + acetyl-CoA</t>
  </si>
  <si>
    <t>6.4.1.4</t>
  </si>
  <si>
    <t>4.2.1.18</t>
  </si>
  <si>
    <t>1.3.8.4</t>
  </si>
  <si>
    <t>Isovaleryl-CoA + FAD + H+ = 3-methylcrotonyl-CoA + FADH2</t>
  </si>
  <si>
    <t>3-methylcrotonyl-CoA + hydrogen carbonate + ATP = 3-methylglutaconyl-CoA + ADP + phosphate + H+</t>
  </si>
  <si>
    <t>(S)-3-hydroxy-3-methylglutaryl-CoA = 3-methylglutaconyl-CoA + H2O</t>
  </si>
  <si>
    <t>L-lysine + O2 = H2O + CO2 + 5-aminopentanamide</t>
  </si>
  <si>
    <t>1.13.12.2</t>
  </si>
  <si>
    <t>3.5.1.30</t>
  </si>
  <si>
    <t>2.6.1.48</t>
  </si>
  <si>
    <t>2.8.3.13</t>
  </si>
  <si>
    <t>5-aminopentanamide + H2O = NH4+ + 5-aminopentanoate</t>
  </si>
  <si>
    <t>5-aminopentanoate + 2-oxoglutarate = L-glutamate + glutarate semialdehyde</t>
  </si>
  <si>
    <t>glutarate semialdehyde + H2O + NADP+ = 2 H+ + NADPH + glutarate</t>
  </si>
  <si>
    <t>glutarate + succinyl-CoA = succinate + glutaryl-CoA</t>
  </si>
  <si>
    <t>1.3.8.6</t>
  </si>
  <si>
    <t>4.2.1.150</t>
  </si>
  <si>
    <t>1.1.1.35</t>
  </si>
  <si>
    <t>glutaryl-CoA + FAD = FADH2 + €-glutaconyl-CoA</t>
  </si>
  <si>
    <t>€-glutaconyl-CoA = CO2 + crotonyl-CoA</t>
  </si>
  <si>
    <t>crotonyl-CoA + H2O = (S)-3-hydroxybutanoyl-CoA</t>
  </si>
  <si>
    <t>(S)-3-hydroxybutanoyl-CoA + NAD+ = NADH + H+ acetoacetyl-CoA</t>
  </si>
  <si>
    <t xml:space="preserve">1 FAD + 1 glutaryl-coA + 1 H2O + 1 NAD = Acetoacetyl-CoA + 1 CO2 + 1 FADH2 + 1 NADH </t>
  </si>
  <si>
    <t>L-methionine = H+ + methanethiol + (2Z)-2-aminobut-2-enoate</t>
  </si>
  <si>
    <t>(2Z)-2-aminobut-2-enoate = 2-iminobutanoate</t>
  </si>
  <si>
    <t>2-iminobutanoate + H2O + H+ = NH4+ + 2-oxobutanoate</t>
  </si>
  <si>
    <t>4.4.1.11</t>
  </si>
  <si>
    <t>1 4MOP + 1 CoA + 1 NAD = 1 Isovaleryl-CoA + 1 CO2 + 1 NADH</t>
  </si>
  <si>
    <t>val_deg</t>
  </si>
  <si>
    <t xml:space="preserve">2 CoA + 1 FAD + 1 H2O + 1 3MOP + 2 NAD = 1 Acetyl-CoA + 1 CO2 + 1 FADH2 + 2 NADH + 1 propanoyl-CoA + 1 Proton </t>
  </si>
  <si>
    <t>1.8.3.4</t>
  </si>
  <si>
    <t>2.8.3.-</t>
  </si>
  <si>
    <t>6.2.1.13</t>
  </si>
  <si>
    <t>1.14.16.1/4.2.1.96/1.5.1.-</t>
  </si>
  <si>
    <t>L-tryptophan + O2 = N-formylkynurenine</t>
  </si>
  <si>
    <t>N-formylkynurenine + H2O = H+ + formate + L-kynurenine</t>
  </si>
  <si>
    <t>3-hydroxyanthranilate + O2 = H+ + aminocarboxymuconate semialdehyde</t>
  </si>
  <si>
    <t>aminocarboxymuconate semialdehyde + H+ = CO2 + 2-aminomuconate 6-semialdehyde</t>
  </si>
  <si>
    <t>2-aminomuconate 6-semialdehyde + H2O + NAD+ = 2 H+ + NADH + 2-aminomuconate</t>
  </si>
  <si>
    <t>2-aminomuconate + H2O + H+ = NH4+ + (3E)-2-oxohex-3-enedioate</t>
  </si>
  <si>
    <t>(3E)-2-oxohex-3-enedioate + H+ = CO2 + 2-oxopent-4-enoate</t>
  </si>
  <si>
    <t>2-oxopent-4-enoate + H2O = 4-hydroxy-2-oxopentanoate</t>
  </si>
  <si>
    <t>4-hydroxy-2-oxopentanoate = pyruvate + acetaldehyde</t>
  </si>
  <si>
    <t>acetaldehyde + NAD+ + coenzyem A = NADH + H+ + acetyl-CoA</t>
  </si>
  <si>
    <t>1.13.11.11</t>
  </si>
  <si>
    <t>3.5.1.9</t>
  </si>
  <si>
    <t>3.7.1.3</t>
  </si>
  <si>
    <t>1.13.11.6</t>
  </si>
  <si>
    <t>4.1.1.45</t>
  </si>
  <si>
    <t>1.2.1.32</t>
  </si>
  <si>
    <t>3.5.99.5</t>
  </si>
  <si>
    <t>4.1.1.77</t>
  </si>
  <si>
    <t>4.2.1.80</t>
  </si>
  <si>
    <t>4.1.3.39</t>
  </si>
  <si>
    <t>1.2.1.10</t>
  </si>
  <si>
    <t>L-kynurenine + H2O = L-alanine + H+ + anthranilate</t>
  </si>
  <si>
    <t>anthranilate + FADH2 + O2 = FAD + H2O + H+ + 3-hydroxyanthranilate</t>
  </si>
  <si>
    <t>1.14.14.8</t>
  </si>
  <si>
    <t>4-hydroxyphenylacetate + FADH2 + O2 = FAD + H2O + H+ + 3,4-dihydroxyphenylacetate</t>
  </si>
  <si>
    <t>3,4-dihydroxyphenylacetate + O2 = H+ 2-hydroxy-5-carboxymethylmuconate semialdehyde</t>
  </si>
  <si>
    <t>2-hydroxy-5-carboxymethylmuconate semialdehyde + H2O + NAD+ = NADH + 2 H+ 5-carboxymethyl-2-hydroxymuconate</t>
  </si>
  <si>
    <t>5-carboxymethyl-2-hydroxymuconate = 5-carboxy-2-oxohept-3-enedioate</t>
  </si>
  <si>
    <t>5-carboxy-2-oxohept-3-enedioate + H+ = CO2 + 2-hydroxyhepta-2,4-dienedioate</t>
  </si>
  <si>
    <t>2-hydroxyhepta-2,4-dienedioate + H2O = 2-keto-4-hydroxypimelate</t>
  </si>
  <si>
    <t>2-keto-4-hydroxypimelate = pyruvate + succinate semialdehyde</t>
  </si>
  <si>
    <t>succinate semialdehyde + H2O + NADP+ = NADPH + 2 H+ + succinate</t>
  </si>
  <si>
    <t>1.14.14.9</t>
  </si>
  <si>
    <t>1.13.11.15</t>
  </si>
  <si>
    <t>1.2.1.60</t>
  </si>
  <si>
    <t>5.3.3.10</t>
  </si>
  <si>
    <t>4.1.1.68</t>
  </si>
  <si>
    <t>4.2.1.-</t>
  </si>
  <si>
    <t>4.1.2.52</t>
  </si>
  <si>
    <t>1.2.1.79</t>
  </si>
  <si>
    <t xml:space="preserve">1 4-hydroxyphenylacetate + 1 FADH2 + 2 H2O + 1 NAD + 1 NADP + 2 O2 = 1 CO2 + 1 FAD + 1 NADH + 1 NADPH + 4 Proton + 1 Pyruvate + 1 Succinate </t>
  </si>
  <si>
    <t>1.2.3.13</t>
  </si>
  <si>
    <t>3.5.1.10</t>
  </si>
  <si>
    <t>1.5.1.20</t>
  </si>
  <si>
    <t>1.5.1.15</t>
  </si>
  <si>
    <t>3.5.4.9</t>
  </si>
  <si>
    <t>1.4.4.2/2.1.2.10/1.8.1.4</t>
  </si>
  <si>
    <t>10.1128/JB.188.9.3192–3198.2006</t>
  </si>
  <si>
    <t>1.4.1.9 (2.6.1.42)</t>
  </si>
  <si>
    <t>4.1.1.99</t>
  </si>
  <si>
    <t xml:space="preserve">1 5-phosphomevalonate + 1 ATP = 1 CO2 + 1 Phosphate + 1 ADP + 1 isopentenyl-phosphate </t>
  </si>
  <si>
    <t>10.1128/JB.01230-13</t>
  </si>
  <si>
    <t>4.3.1.12</t>
  </si>
  <si>
    <t>3.5.3.1</t>
  </si>
  <si>
    <t>6.1.1.-/6.3.5.6/3.1.1.29</t>
  </si>
  <si>
    <t>4.1.3.1</t>
  </si>
  <si>
    <t>2.3.3.9</t>
  </si>
  <si>
    <t>4.1.2.43</t>
  </si>
  <si>
    <t>5.3.1.27</t>
  </si>
  <si>
    <t>2.5.1.47</t>
  </si>
  <si>
    <t>2.7.1.39</t>
  </si>
  <si>
    <t>4.2.3.1</t>
  </si>
  <si>
    <t>4.1.2.-</t>
  </si>
  <si>
    <t>1.14.11.18</t>
  </si>
  <si>
    <t>6.2.1.24</t>
  </si>
  <si>
    <t>2.3.1.16</t>
  </si>
  <si>
    <t>trans-2-enoyl-CoA + H2O = (3S)-3-hydroxyacyl-CoA</t>
  </si>
  <si>
    <t>(3S)-3-hydroxyacyl-CoA + NAD+ = NADH + H+ 3-oxyacyl-CoA</t>
  </si>
  <si>
    <t>3-oxyacyl-CoA + coenzyme A = acetyl-CoA + shorter-fatty-acid</t>
  </si>
  <si>
    <t>fatty-acyl-CoA + FAD = FADH2 + trans-2-enoyl-CoA</t>
  </si>
  <si>
    <t>2.3.3.5</t>
  </si>
  <si>
    <t>4.2.1.79</t>
  </si>
  <si>
    <t>4.2.1.99</t>
  </si>
  <si>
    <t>4.1.3.30</t>
  </si>
  <si>
    <t>propanoyl-CoA + H2O + oxaloacetate = coenzyme A + H+ + (2S,3S)-2-methylcitrate</t>
  </si>
  <si>
    <t>(2S,3S)-2-methylcitrate = H2O + cis-2-methylaconitate</t>
  </si>
  <si>
    <t>cis-2-methylaconitate + H2O = (2R,3S)-2-methylisocitrate</t>
  </si>
  <si>
    <t>(2R,3S)-2-methylisocitrate = succinate + pyruvate</t>
  </si>
  <si>
    <t>3.1.3.5</t>
  </si>
  <si>
    <t>3.5.4.4</t>
  </si>
  <si>
    <t>2.4.2.1</t>
  </si>
  <si>
    <t>1.17.1.4</t>
  </si>
  <si>
    <t>1.14.1.4</t>
  </si>
  <si>
    <t>AMP + H2O = phosphate + adenosine</t>
  </si>
  <si>
    <t>adenosine + H2O + H+ = NH4+ + inosine</t>
  </si>
  <si>
    <t>inosine + phosphate = D-ribose-1-phosphate + hypoxanthine</t>
  </si>
  <si>
    <t>hypoxanthine + H2O + NAD+ = H+ + NADH + xanthine</t>
  </si>
  <si>
    <t>xanthine + H2O + NAD+ = H+ + NADH + urate</t>
  </si>
  <si>
    <t>urate + H2O + O2 = H2O2 + 5-hydroxyisourate</t>
  </si>
  <si>
    <t>5-hydroxyisourate + H2O = H+ + 2-oxo-4-hydroxy-4-carboxy-5-ureidoimidazoline</t>
  </si>
  <si>
    <t>2-oxo-4-hydroxy-4-carboxy-5-ureidoimidazoline + H+ = CO2 + (S)-(+)-allantoin</t>
  </si>
  <si>
    <t>(S)-(+)-allantoin + H2O = H+ + allantoate</t>
  </si>
  <si>
    <t>allantoate + H2O = urea + S-ureidoglycolate</t>
  </si>
  <si>
    <t>S-ureidoglycolate = urea + glyoxylate</t>
  </si>
  <si>
    <t>3.5.2.5</t>
  </si>
  <si>
    <t>3.5.3.4</t>
  </si>
  <si>
    <t>4.3.2.3</t>
  </si>
  <si>
    <t>1.7.3.3</t>
  </si>
  <si>
    <t>3.5.2.17</t>
  </si>
  <si>
    <t>4.1.1.97</t>
  </si>
  <si>
    <t>5.4.2.7</t>
  </si>
  <si>
    <t>GMP + H2O = phosphate + guanosine</t>
  </si>
  <si>
    <t>3.5.4.3</t>
  </si>
  <si>
    <t>guanosine + phosphate = D-ribose-1-phosphate + guanine</t>
  </si>
  <si>
    <t>guanine + H2O + H+ = NH4+ + xanthine</t>
  </si>
  <si>
    <t>uridine</t>
  </si>
  <si>
    <t>CMP + H2O = phosphate + cytidine</t>
  </si>
  <si>
    <t>cytidine + H2O + H+ = NH4+ uridine</t>
  </si>
  <si>
    <t>uridine + phosphate = D-ribose-1-phosphate + uracil</t>
  </si>
  <si>
    <t>2.4.2.2</t>
  </si>
  <si>
    <t>3.5.4.5</t>
  </si>
  <si>
    <t>1.3.1.2</t>
  </si>
  <si>
    <t>3.5.2.2</t>
  </si>
  <si>
    <t>3.5.1.6</t>
  </si>
  <si>
    <t>uracil + NADPH + H+ = NADP+ + 5,6-dihydrouracil</t>
  </si>
  <si>
    <t>5,6-dihydrouracil + H2O = H+ + 3-ureidopropionate</t>
  </si>
  <si>
    <t>3-ureidopropionate + 2 H+ + H2O = NH4+ + CO2 + beta-alanine</t>
  </si>
  <si>
    <t>2.6.1.19</t>
  </si>
  <si>
    <t>beta-alanine + 2-oxoglutarate = L-glutamate + malonate semialdehyde</t>
  </si>
  <si>
    <t>malonate semialdehyde + NAD+ + coenzyme A = acetyl-CoA + NADH + CO2</t>
  </si>
  <si>
    <t>1 H2O + 1 UMP_deg = 1 Phosphate + 1 uridine</t>
  </si>
  <si>
    <t>1 xanthine + 5 H2O + 1 NAD + 1 O2 = 2 Proton + 1 NADH + 1 CO2 + 2 urea + 1 H2O2 + 1 glyoxylate</t>
  </si>
  <si>
    <t>xanthine_deg</t>
  </si>
  <si>
    <t>uridine_deg</t>
  </si>
  <si>
    <t>1.8.1.9</t>
  </si>
  <si>
    <t>1 3-Methyl-2-oxobutanoate + 1 NAD + 1 CoA = 1 NADH + 1 CO2 + 1 isobutyryl-CoA</t>
  </si>
  <si>
    <t>1 D-ribose-1-phosphate = 1 ribose-5-phosphate</t>
  </si>
  <si>
    <t>xanthine</t>
  </si>
  <si>
    <t>D-ribose-1-phosphate</t>
  </si>
  <si>
    <t>1 uridine + 1 Phosphate + 1 Proton + 2 H2O + 1 2-Oxoglutarate + 1 CoA = 1 D-ribose-1-phosphate + 1 NH3 + 2 CO2 + 1 L-Glutamate + 1 Acetyl-CoA</t>
  </si>
  <si>
    <r>
      <t>C</t>
    </r>
    <r>
      <rPr>
        <vertAlign val="subscript"/>
        <sz val="11"/>
        <color theme="1"/>
        <rFont val="Calibri"/>
        <family val="2"/>
        <scheme val="minor"/>
      </rPr>
      <t>9</t>
    </r>
    <r>
      <rPr>
        <sz val="11"/>
        <color theme="1"/>
        <rFont val="Calibri"/>
        <family val="2"/>
        <scheme val="minor"/>
      </rPr>
      <t>H</t>
    </r>
    <r>
      <rPr>
        <vertAlign val="subscript"/>
        <sz val="11"/>
        <color theme="1"/>
        <rFont val="Calibri"/>
        <family val="2"/>
        <scheme val="minor"/>
      </rPr>
      <t>12</t>
    </r>
    <r>
      <rPr>
        <sz val="11"/>
        <color theme="1"/>
        <rFont val="Calibri"/>
        <family val="2"/>
        <scheme val="minor"/>
      </rPr>
      <t>N</t>
    </r>
    <r>
      <rPr>
        <vertAlign val="subscript"/>
        <sz val="11"/>
        <color theme="1"/>
        <rFont val="Calibri"/>
        <family val="2"/>
        <scheme val="minor"/>
      </rPr>
      <t>2</t>
    </r>
    <r>
      <rPr>
        <sz val="11"/>
        <color theme="1"/>
        <rFont val="Calibri"/>
        <family val="2"/>
        <scheme val="minor"/>
      </rPr>
      <t>O</t>
    </r>
    <r>
      <rPr>
        <vertAlign val="subscript"/>
        <sz val="11"/>
        <color theme="1"/>
        <rFont val="Calibri"/>
        <family val="2"/>
        <scheme val="minor"/>
      </rPr>
      <t>6</t>
    </r>
  </si>
  <si>
    <t>C(O)C1(OC(C(O)C(O)1)N2(C=CC(=O)NC(=O)2))</t>
  </si>
  <si>
    <r>
      <t>C</t>
    </r>
    <r>
      <rPr>
        <vertAlign val="subscript"/>
        <sz val="11"/>
        <color theme="1"/>
        <rFont val="Calibri"/>
        <family val="2"/>
        <scheme val="minor"/>
      </rPr>
      <t>5</t>
    </r>
    <r>
      <rPr>
        <sz val="11"/>
        <color theme="1"/>
        <rFont val="Calibri"/>
        <family val="2"/>
        <scheme val="minor"/>
      </rPr>
      <t>H</t>
    </r>
    <r>
      <rPr>
        <vertAlign val="subscript"/>
        <sz val="11"/>
        <color theme="1"/>
        <rFont val="Calibri"/>
        <family val="2"/>
        <scheme val="minor"/>
      </rPr>
      <t>4</t>
    </r>
    <r>
      <rPr>
        <sz val="11"/>
        <color theme="1"/>
        <rFont val="Calibri"/>
        <family val="2"/>
        <scheme val="minor"/>
      </rPr>
      <t>N</t>
    </r>
    <r>
      <rPr>
        <vertAlign val="subscript"/>
        <sz val="11"/>
        <color theme="1"/>
        <rFont val="Calibri"/>
        <family val="2"/>
        <scheme val="minor"/>
      </rPr>
      <t>4</t>
    </r>
    <r>
      <rPr>
        <sz val="11"/>
        <color theme="1"/>
        <rFont val="Calibri"/>
        <family val="2"/>
        <scheme val="minor"/>
      </rPr>
      <t>O</t>
    </r>
    <r>
      <rPr>
        <vertAlign val="subscript"/>
        <sz val="11"/>
        <color theme="1"/>
        <rFont val="Calibri"/>
        <family val="2"/>
        <scheme val="minor"/>
      </rPr>
      <t>2</t>
    </r>
  </si>
  <si>
    <t>C12(NC(=O)NC(C=1N=CN2)=O)</t>
  </si>
  <si>
    <r>
      <t>C</t>
    </r>
    <r>
      <rPr>
        <vertAlign val="subscript"/>
        <sz val="11"/>
        <color theme="1"/>
        <rFont val="Calibri"/>
        <family val="2"/>
        <scheme val="minor"/>
      </rPr>
      <t>5</t>
    </r>
    <r>
      <rPr>
        <sz val="11"/>
        <color theme="1"/>
        <rFont val="Calibri"/>
        <family val="2"/>
        <scheme val="minor"/>
      </rPr>
      <t>H</t>
    </r>
    <r>
      <rPr>
        <vertAlign val="subscript"/>
        <sz val="11"/>
        <color theme="1"/>
        <rFont val="Calibri"/>
        <family val="2"/>
        <scheme val="minor"/>
      </rPr>
      <t>9</t>
    </r>
    <r>
      <rPr>
        <sz val="11"/>
        <color theme="1"/>
        <rFont val="Calibri"/>
        <family val="2"/>
        <scheme val="minor"/>
      </rPr>
      <t>O</t>
    </r>
    <r>
      <rPr>
        <vertAlign val="subscript"/>
        <sz val="11"/>
        <color theme="1"/>
        <rFont val="Calibri"/>
        <family val="2"/>
        <scheme val="minor"/>
      </rPr>
      <t>8</t>
    </r>
    <r>
      <rPr>
        <sz val="11"/>
        <color theme="1"/>
        <rFont val="Calibri"/>
        <family val="2"/>
        <scheme val="minor"/>
      </rPr>
      <t>P</t>
    </r>
  </si>
  <si>
    <t>C(O)C1(C(O)C(O)C(OP(=O)([O-])[O-])O1)</t>
  </si>
  <si>
    <t xml:space="preserve">2 H2O + 1 CMP_deg = 1 Phosphate + 1 NH3 + 1 uridine </t>
  </si>
  <si>
    <t>1 AMP_deg + 3 H2O + 1 NAD = 1 Proton + 1 NADH + 1 NH3 + 1 ribose-5-phosphate + 1 xanthine</t>
  </si>
  <si>
    <t xml:space="preserve">1 GMP_deg + 2 H2O = 1 NH3 + 1 ribose-5-phosphate + 1 xanthine </t>
  </si>
  <si>
    <t>inorganic_pyrophosphatase</t>
  </si>
  <si>
    <t>NADPH_NAD_oxidoreductase</t>
  </si>
  <si>
    <t>ETC_complex_III_EC_1_10_2_2</t>
  </si>
  <si>
    <t>pur_R02020</t>
  </si>
  <si>
    <t>pyr_R02023</t>
  </si>
  <si>
    <t>pyr_R06613</t>
  </si>
  <si>
    <t>pyr_R02325</t>
  </si>
  <si>
    <t>pyr_R02022</t>
  </si>
  <si>
    <t>pyr_R00158</t>
  </si>
  <si>
    <t>arg_pro_2_3_1_1</t>
  </si>
  <si>
    <t>arg_pro_3_5_1_14</t>
  </si>
  <si>
    <t>his_R03012</t>
  </si>
  <si>
    <t>arg_pro_3_5_3_1</t>
  </si>
  <si>
    <t>PPP_EC_5_3_1_27</t>
  </si>
  <si>
    <t>PPP_EC_4_1_2_43</t>
  </si>
  <si>
    <t>PPP_EC_4_1_2_13</t>
  </si>
  <si>
    <t>G_G_EC_2_7_1_11</t>
  </si>
  <si>
    <t>TCA_EC_1_1_2_4</t>
  </si>
  <si>
    <t>cys_R01001</t>
  </si>
  <si>
    <t>GST_serine_cond</t>
  </si>
  <si>
    <t>ReactionName</t>
  </si>
  <si>
    <t>G_G_R04780</t>
  </si>
  <si>
    <t>G_G_EC_4_1_2_13</t>
  </si>
  <si>
    <t>G_G_R01015</t>
  </si>
  <si>
    <t>G-G_R01058</t>
  </si>
  <si>
    <t>G_G_R01061</t>
  </si>
  <si>
    <t>G_G_R01512</t>
  </si>
  <si>
    <t>G_G_R01518</t>
  </si>
  <si>
    <t>G_G_R00658</t>
  </si>
  <si>
    <t>G_G_R00200</t>
  </si>
  <si>
    <t>G_G_R00206</t>
  </si>
  <si>
    <t>PYR_R00345</t>
  </si>
  <si>
    <t>PYR_R00216</t>
  </si>
  <si>
    <t>PYR_R00014</t>
  </si>
  <si>
    <t>PYR_R03270</t>
  </si>
  <si>
    <t>TCA_R02569</t>
  </si>
  <si>
    <t>PYR_R01698</t>
  </si>
  <si>
    <t>TCA_R00351</t>
  </si>
  <si>
    <t>TCA_R01325</t>
  </si>
  <si>
    <t>TCA_R00709</t>
  </si>
  <si>
    <t>TCA_R00405</t>
  </si>
  <si>
    <t>TCA_R01082</t>
  </si>
  <si>
    <t>TCA_R00342</t>
  </si>
  <si>
    <t>TCA_EC_3_1_2_1</t>
  </si>
  <si>
    <t>GLYOXY_SHUNT_1</t>
  </si>
  <si>
    <t>GLYOXY_SHUNT_2</t>
  </si>
  <si>
    <t>PPP_EC_1_1_1_119</t>
  </si>
  <si>
    <t>PPP_EC_3_1_1_17</t>
  </si>
  <si>
    <t>PPP_R01538</t>
  </si>
  <si>
    <t>PPP_R01541</t>
  </si>
  <si>
    <t>PPP_R05605</t>
  </si>
  <si>
    <t>PPP_EC_4_2_1_12</t>
  </si>
  <si>
    <t>PPP_R01528</t>
  </si>
  <si>
    <t>PPP_R01056</t>
  </si>
  <si>
    <t>PPP_R01049</t>
  </si>
  <si>
    <t>PPP_R01641</t>
  </si>
  <si>
    <t>PPP_R01830_R01067</t>
  </si>
  <si>
    <t>PPP_EC_3_1_3_37</t>
  </si>
  <si>
    <t>ala_asp_R00355</t>
  </si>
  <si>
    <t>ala_asp_R01135</t>
  </si>
  <si>
    <t>ala_asp_R01083</t>
  </si>
  <si>
    <t>ala_asp_R00258</t>
  </si>
  <si>
    <t>arg_pro_R00245</t>
  </si>
  <si>
    <t>arg_pro_spontaneous</t>
  </si>
  <si>
    <t>arg_pro_R01251</t>
  </si>
  <si>
    <t>arg_pro_R00150</t>
  </si>
  <si>
    <t>arg_pro_R01398</t>
  </si>
  <si>
    <t>ala_asp_R01954</t>
  </si>
  <si>
    <t>ala_asp_R01086</t>
  </si>
  <si>
    <t>cys_R00586</t>
  </si>
  <si>
    <t>cys_R00897</t>
  </si>
  <si>
    <t>GST_R00480</t>
  </si>
  <si>
    <t>GST_R02291</t>
  </si>
  <si>
    <t>GST_R01773</t>
  </si>
  <si>
    <t>GST_R01771</t>
  </si>
  <si>
    <t>GST_R01466</t>
  </si>
  <si>
    <t>BCAA_R00996</t>
  </si>
  <si>
    <t>met_R01286</t>
  </si>
  <si>
    <t>met_R00946</t>
  </si>
  <si>
    <t>GST_R00220</t>
  </si>
  <si>
    <t>GST_R00945</t>
  </si>
  <si>
    <t>his_R01071</t>
  </si>
  <si>
    <t>his_R04035</t>
  </si>
  <si>
    <t>his_R04037</t>
  </si>
  <si>
    <t>his_R04640</t>
  </si>
  <si>
    <t>his_R04558</t>
  </si>
  <si>
    <t>his_R03457</t>
  </si>
  <si>
    <t>his_R03243</t>
  </si>
  <si>
    <t>his_R03013</t>
  </si>
  <si>
    <t>his_R01163</t>
  </si>
  <si>
    <t>lys_R02292</t>
  </si>
  <si>
    <t>lys_R04198</t>
  </si>
  <si>
    <t>lys_R02735</t>
  </si>
  <si>
    <t>lys_R00451</t>
  </si>
  <si>
    <t>phe_tyr_trp_R01826</t>
  </si>
  <si>
    <t>phe_tyr_trp_R03083</t>
  </si>
  <si>
    <t>phe_tyr_trp_R02413</t>
  </si>
  <si>
    <t>phe_tyr_trp_R02412</t>
  </si>
  <si>
    <t>phe_tyr_trp_R03460</t>
  </si>
  <si>
    <t>phe_tyr_trp_R01714</t>
  </si>
  <si>
    <t>phe_tyr_trp_R00985</t>
  </si>
  <si>
    <t>phe_tyr_trp_R01073</t>
  </si>
  <si>
    <t>phe_tyr_trp_R03509</t>
  </si>
  <si>
    <t>phe_tyr_trp_R03508</t>
  </si>
  <si>
    <t>phe_tyr_trp_R02340</t>
  </si>
  <si>
    <t>phe_tyr_trp_R00674</t>
  </si>
  <si>
    <t>phe_tyr_trp_R01715</t>
  </si>
  <si>
    <t>phe_tyr_trp_R01373</t>
  </si>
  <si>
    <t>phe_tyr_trp_R00694</t>
  </si>
  <si>
    <t>phe_tyr_trp_R01728</t>
  </si>
  <si>
    <t>phe_tyr_trp_R00734</t>
  </si>
  <si>
    <t>BCAA_R03194</t>
  </si>
  <si>
    <t>BCAA_R05069_R05068</t>
  </si>
  <si>
    <t>BCAA_R05070</t>
  </si>
  <si>
    <t>BCAA_R02196</t>
  </si>
  <si>
    <t>BCAA_R04672</t>
  </si>
  <si>
    <t>BCAA_R05071_R04440</t>
  </si>
  <si>
    <t>BCAA_R04441</t>
  </si>
  <si>
    <t>BCAA_R01434</t>
  </si>
  <si>
    <t>BCAA_R01213</t>
  </si>
  <si>
    <t>BCAA_R03968</t>
  </si>
  <si>
    <t>BCAA_R04001</t>
  </si>
  <si>
    <t>BCAA_R04426</t>
  </si>
  <si>
    <t>BCAA_R01652</t>
  </si>
  <si>
    <t>BCAA_R01088</t>
  </si>
  <si>
    <t>Gln_syn_R00253</t>
  </si>
  <si>
    <t>asn_syn_cond</t>
  </si>
  <si>
    <t>arg_pro_R00671</t>
  </si>
  <si>
    <t>asn_deg</t>
  </si>
  <si>
    <t>glut_R00243</t>
  </si>
  <si>
    <t>Histidine_deg</t>
  </si>
  <si>
    <t>ile_deg_cond</t>
  </si>
  <si>
    <t>glutaryl_coA_deg</t>
  </si>
  <si>
    <t>met_deg_1</t>
  </si>
  <si>
    <t>met_deg_2</t>
  </si>
  <si>
    <t>EC_6_2_1_13</t>
  </si>
  <si>
    <t>4_hydroy_deg_cond</t>
  </si>
  <si>
    <t>EC_1_2_3_13</t>
  </si>
  <si>
    <t>b9_EC_3_5_1_10</t>
  </si>
  <si>
    <t>b9_glycine_cleavage</t>
  </si>
  <si>
    <t>b9_EC_1_5_1_20</t>
  </si>
  <si>
    <t>b9_EC_1_5_1_15</t>
  </si>
  <si>
    <t>b9_EC_3_5_4_9</t>
  </si>
  <si>
    <t>mev_R00238</t>
  </si>
  <si>
    <t>mev_R01978</t>
  </si>
  <si>
    <t>mev_R02082</t>
  </si>
  <si>
    <t>mev_R02245</t>
  </si>
  <si>
    <t>mev_R01123</t>
  </si>
  <si>
    <t>pyr_R01397</t>
  </si>
  <si>
    <t>pyr_R01993</t>
  </si>
  <si>
    <t>pyr_R01867</t>
  </si>
  <si>
    <t>pyr_R01870</t>
  </si>
  <si>
    <t>pyr_R00965</t>
  </si>
  <si>
    <t>pyr_R00156</t>
  </si>
  <si>
    <t>pyr_R00571</t>
  </si>
  <si>
    <t>pyr_R02100</t>
  </si>
  <si>
    <t>pyr_R02094</t>
  </si>
  <si>
    <t>pyr_R02093</t>
  </si>
  <si>
    <t>Gln_syn_R01072</t>
  </si>
  <si>
    <t>pur_R04144</t>
  </si>
  <si>
    <t>pur_R04325</t>
  </si>
  <si>
    <t>pur_R04463</t>
  </si>
  <si>
    <t>pur_R04208</t>
  </si>
  <si>
    <t>pur_R04209</t>
  </si>
  <si>
    <t>pur_R04591</t>
  </si>
  <si>
    <t>pur_R04559</t>
  </si>
  <si>
    <t>pur_R04560</t>
  </si>
  <si>
    <t>pur_R01127</t>
  </si>
  <si>
    <t>pur_R01130</t>
  </si>
  <si>
    <t>pur_R01231</t>
  </si>
  <si>
    <t>pur_R00127</t>
  </si>
  <si>
    <t>pur_R00332</t>
  </si>
  <si>
    <t>pur_R00330</t>
  </si>
  <si>
    <t>pur_R02017</t>
  </si>
  <si>
    <t>pur_R01137</t>
  </si>
  <si>
    <t>myell_rRNA_deg</t>
  </si>
  <si>
    <t>rRNA_deg_AMP</t>
  </si>
  <si>
    <t>rRNA_deg_GMP</t>
  </si>
  <si>
    <t>rRNA_deg_UMP</t>
  </si>
  <si>
    <t>rRNA_deg_CMP</t>
  </si>
  <si>
    <t>ETC_complex_I_EC_1_6_5_3</t>
  </si>
  <si>
    <t>ETC_complex_IV_EC_1_9_3_1</t>
  </si>
  <si>
    <t>ETC_complex_V_EC_3_6_3_14</t>
  </si>
  <si>
    <t>peptide_synthesis</t>
  </si>
  <si>
    <t>rRNA_synthesis</t>
  </si>
  <si>
    <t>DNA_synthesis</t>
  </si>
  <si>
    <t>biomass_synthesis</t>
  </si>
  <si>
    <t>flavin_reductase</t>
  </si>
  <si>
    <t>proton_diffusion</t>
  </si>
  <si>
    <t>fdh</t>
  </si>
  <si>
    <t>formaldehyde_ox</t>
  </si>
  <si>
    <t>urea_excrete</t>
  </si>
  <si>
    <t>bicarbonate_equilibrium</t>
  </si>
  <si>
    <t>NH3_transport</t>
  </si>
  <si>
    <t>O2_diffusion</t>
  </si>
  <si>
    <t>phosphate_uptake</t>
  </si>
  <si>
    <t>phosphate_excrete</t>
  </si>
  <si>
    <t>H2O2_diffusion</t>
  </si>
  <si>
    <t>CO2_diffusion</t>
  </si>
  <si>
    <t>CELB_transport</t>
  </si>
  <si>
    <t>L-Alanine_uptake</t>
  </si>
  <si>
    <t>L-Cysteine_uptake</t>
  </si>
  <si>
    <t>L-Aspartate_uptake</t>
  </si>
  <si>
    <t>L-Glutamate_uptake</t>
  </si>
  <si>
    <t>L-Phenylalanine_uptake</t>
  </si>
  <si>
    <t>Glycine_uptake</t>
  </si>
  <si>
    <t>L-Histidine_uptake</t>
  </si>
  <si>
    <t>L-Isoleucine_uptake</t>
  </si>
  <si>
    <t>L-Lysine_uptake</t>
  </si>
  <si>
    <t>L-Leucine_uptake</t>
  </si>
  <si>
    <t>L-Methionine_uptake</t>
  </si>
  <si>
    <t>L-Asparagine_uptake</t>
  </si>
  <si>
    <t>L-Proline_uptake</t>
  </si>
  <si>
    <t>L-Glutamine_uptake</t>
  </si>
  <si>
    <t>L-Arginine_uptake</t>
  </si>
  <si>
    <t>L-Serine_uptake</t>
  </si>
  <si>
    <t>L-Threonine_uptake</t>
  </si>
  <si>
    <t>L-Valine_uptake</t>
  </si>
  <si>
    <t>L-Tryptophan_uptake</t>
  </si>
  <si>
    <t>L-Tyrosine_uptake</t>
  </si>
  <si>
    <t>myell_protein_transport</t>
  </si>
  <si>
    <t>myell_rRNA_transport</t>
  </si>
  <si>
    <t>Lipid_transport</t>
  </si>
  <si>
    <t>Maintenance</t>
  </si>
  <si>
    <t>Energy_leakage</t>
  </si>
  <si>
    <t>leu_deg_1</t>
  </si>
  <si>
    <t>leu_deg_2</t>
  </si>
  <si>
    <t>lys_deg</t>
  </si>
  <si>
    <t>met_deg_3</t>
  </si>
  <si>
    <t>met_deg_4</t>
  </si>
  <si>
    <t>phe_deg</t>
  </si>
  <si>
    <t>try_deg</t>
  </si>
  <si>
    <t>myell_protein_deg</t>
  </si>
  <si>
    <t>Lipid_EC_2_5_1_1</t>
  </si>
  <si>
    <t>Lipid_EC_2_5_1_10</t>
  </si>
  <si>
    <t>Lipid_EC_2_5_1_29</t>
  </si>
  <si>
    <t>Lipid_EC_2_5_1_81</t>
  </si>
  <si>
    <t>Lipid_C25_syn</t>
  </si>
  <si>
    <t>Lipid_C25_C25_syn</t>
  </si>
  <si>
    <t>Lipid_EC_1_1_1_261</t>
  </si>
  <si>
    <t>Lipid_deg_1</t>
  </si>
  <si>
    <t>Lipid_deg_2</t>
  </si>
  <si>
    <t>Lipid_deg_3</t>
  </si>
  <si>
    <t>Lipid_EC_1.2.1.3</t>
  </si>
  <si>
    <t>Lipid_EC_6.2.1.3</t>
  </si>
  <si>
    <t>Lipid_EC_1.14.11.-</t>
  </si>
  <si>
    <t>Lipid_EC_4.1.-.-</t>
  </si>
  <si>
    <t>Lipid_EC_3.1.2.10</t>
  </si>
  <si>
    <t>Beta_oxidation_cond</t>
  </si>
  <si>
    <t>propionate_cond</t>
  </si>
  <si>
    <t>ETC_complex_IV_EC_1_10_3_10</t>
  </si>
  <si>
    <t>2.7.1.69</t>
  </si>
  <si>
    <t>G_G_R00222</t>
  </si>
  <si>
    <t>G_G_R00771</t>
  </si>
  <si>
    <t>G_G_EC_2_7_1_69</t>
  </si>
  <si>
    <t>TCA_R01197</t>
  </si>
  <si>
    <t>TCA_complex_II</t>
  </si>
  <si>
    <t>cys_deg</t>
  </si>
  <si>
    <t>mev_R10561</t>
  </si>
  <si>
    <t>mev_R10093</t>
  </si>
  <si>
    <t>EC_1_4_1_13</t>
  </si>
  <si>
    <t>EC_5_4_2_7</t>
  </si>
  <si>
    <t>EC_1_8_1_9</t>
  </si>
  <si>
    <t>equilibrium</t>
  </si>
  <si>
    <t>cren1_8best_scaffolds_00010420</t>
  </si>
  <si>
    <t>ATGAAGATTGAAGGAAACATTGTTGACGTAGTAAATGAAGATATATTTCC
TGCTGAGATTGATATTAGAGGAAATAGGATTTTAGAAATAAAGAAGGTTA
ATAAAAATTTTAATCGCTTTATTCTTCCAGGTTTTGTCGATGCGCATATT
CACATTGAAAGTAGCATGCTTTGCCCAAGCAGGTTTGCTGAAGTTGTTAT
TCCTCATGGAACTGTATCGGTTATAGCTGATGCCCATGAAATCGCTAACG
TTATGGGCATTGAAGGAATATTATTTATGATTGAGGATTCAAAAAATACT
CCATTGAAAGCGTTTTTCACTGCTCCATCCTGTGTTCCTGCTACACCTTT
CGAAACAAACGGTGGAACCATTTCTGAAAAAGAAGTTGAAAAATTGTTTG
AATTAGAAAAGGTCGTAGCTCTTGGGGAGGTTATGAATTATGAAGCTGTA
ATAAACGGAGAAAAAGAAATGATTGCAAAAATAGAGATTGCAAAAAAATA
TGGGAAGGTTATTGACGGTCATGCACCTCTACTAAGCGGTAAAAAGCTTG
AAACGTATATTTCCTATGGCATTACAACGGATCATGAAAGTGTATCGTAT
GAAGAAGCAAAAGAAAAAGCAAAGCTTGGCATGAAAATTATGATAAGAGA
AGGTTCAAATGCCAAGAACATGAAAGATCTAATAAATCTTATTAAAGAAG
GATATGAAACATTCTTAGTTAGCGATGATATCTTAGTTTCAGATCTTATT
AAGGGCCATTTGGATAGGCTACTCTCATCTGCTGTAGAATTGGGGATTGA
TCCAGTAAAAGCAATAAAATGTGTAACAGTAAATCCTGTAAAGCACTATA
GGATCCCGGTAGGACTTCTAAGAAAAGGAGATTATGCGGATTTAATAATT
GTAAATAACTTAAAAGAGTTCAGGGTAATTGAAGTTTACATAGAAGGTAA
ACTAGTAGCAAAAGACGGAAAAGCTACCTTCAATGTAAGGCCAAAGTCTA
CAGGTAATACCTTAATTGCAAAACCTTTAGAATTGAATATGATAAAAATA
AGAGGCGAAGGAAAAAAGCAGAAAGTAAATGTAATAGGAATTATCCCCGA
TCAAATAGTTACAGATCACTTGATCGAAGAATTAGAAACAAAAGATGGAT
ATCTAGAAAGTGATCAAGAAAAAGATATTTTAAAAATAATAGTTTATGAA
AGGTACGGACATGGTAATCTCTCTATTGGCTTTGTTAAAGGTTTTGGTTT
CAAGAACTGCGCTTTAGCATCAACAATAGCTCATGACTCCCATAATATTG
TATGTGCAGGAAGCAGTAATGATTTGATTGTAAAAGCGGTTAACAACTTA
ATTGAAAAAGGAGGTGGTGTATGTGCTGTGGATAAAAGCAATGTTGAAAT
TCTACCTTTGCCAATAGCAGGATTAATGTCAAACGAAGAAGCTAACATCG
TTTCTGAAAACATAGAAAAAATACATGAATTTCTTGCTTTACATGAATGC
AGACTGACAAATCCAATAATAACGCTCTCTTTTATGACTCTTCTTGTAAT
TCCTAAATTAAAAATCAGTGATAGGGGATTATTCGATGTAGAAAAGCAGG
AATTTATTCCTTTATTAGTTTCAAAGTAA</t>
  </si>
  <si>
    <t>MKIEGNIVDVVNEDIFPAEIDIRGNRILEIKKVNKNFNRFILPGFVDAHI
HIESSMLCPSRFAEVVIPHGTVSVIADAHEIANVMGIEGILFMIEDSKNT
PLKAFFTAPSCVPATPFETNGGTISEKEVEKLFELEKVVALGEVMNYEAV
INGEKEMIAKIEIAKKYGKVIDGHAPLLSGKKLETYISYGITTDHESVSY
EEAKEKAKLGMKIMIREGSNAKNMKDLINLIKEGYETFLVSDDILVSDLI
KGHLDRLLSSAVELGIDPVKAIKCVTVNPVKHYRIPVGLLRKGDYADLII
VNNLKEFRVIEVYIEGKLVAKDGKATFNVRPKSTGNTLIAKPLELNMIKI
RGEGKKQKVNVIGIIPDQIVTDHLIEELETKDGYLESDQEKDILKIIVYE
RYGHGNLSIGFVKGFGFKNCALASTIAHDSHNIVCAGSSNDLIVKAVNNL
IEKGGGVCAVDKSNVEILPLPIAGLMSNEEANIVSENIEKIHEFLALHEC
RLTNPIITLSFMTLLVIPKLKISDRGLFDVEKQEFIPLLVSK</t>
  </si>
  <si>
    <t>cren1_8best_scaffolds_00004710</t>
  </si>
  <si>
    <t>ATGGCTAGAAATCTTATAATAATAGGTTCAGGACCTTCAGGATACACAGC
TGCTATATACGCTGCAAGAGCTTTACTTAACCCCTTAGTTATTGCAGGAT
ATCAGCCTGGAGGACAGCTTATGTTAACTACTTTGGTGGAGAACTTTCCA
GGATTTTCGAAAGGAATACTTGGACCTGAACTTATGATGGAAATGAGAAA
ACAGGCTGAAAATTTAGGTGCAGAGATAATAGATAGAGATGCCACAAAGG
TTGACTTTAAAAGTAGACCTTTCAAAATTTGGGTTGAAGATGAATTATAT
GAAGCATGGTCTGTAATAATAGCTACGGGTGCAAGACCAAGATGGTTAGG
AGTAAAAGGGGAAAAAGAATTTGTTGGTAGAGGAGTTTCAACATGTGCAC
CATGCGATGCTCCTTTCTTTAAAAATAGAAACGTGATTGTAGTAGGTGGA
GGAGATAGTGCAATGGAGGAAGCAATGGAGCTGAGCAAGCATGCAAATTC
TGTAACCATTGTTCATAGAAGAGATCAATTCAGAGCTAGTAAAATATTGC
AAGAAAGAGTGTTTAAGAATCCTAAAATAAACATTAAATGGTCACACATA
GTAACAGAGATAGTAGGGGATAAAACAGTTCAAGGTGTATATTTAAGGAA
TTTGAAAACAAACGAAGATTATTTTTTCAAATGTGACGGAGTTTTTCTTG
CAATCGGTCATGAACCTAATACTGAAATTTTTAGAGGACAGGTTGAAATG
GATGAAAAAGGCTACATAATTGCAAAGGAATACACAAAAACAAGCGTAGA
AGGTGTATTTGTTGCAGGCGAAGCAACTGATTATAAGTATAGGCAAGCTA
TTTCAGCCGCAGGCGATGGGTGTAAGGCTGCACTTGACGCGATAAACTTT
ATAGAGGATTTAAAAGCTAAAGGATTAATAACTGAGTAA</t>
  </si>
  <si>
    <t>MARNLIIIGSGPSGYTAAIYAARALLNPLVIAGYQPGGQLMLTTLVENFP
GFSKGILGPELMMEMRKQAENLGAEIIDRDATKVDFKSRPFKIWVEDELY
EAWSVIIATGARPRWLGVKGEKEFVGRGVSTCAPCDAPFFKNRNVIVVGG
GDSAMEEAMELSKHANSVTIVHRRDQFRASKILQERVFKNPKINIKWSHI
VTEIVGDKTVQGVYLRNLKTNEDYFFKCDGVFLAIGHEPNTEIFRGQVEM
DEKGYIIAKEYTKTSVEGVFVAGEATDYKYRQAISAAGDGCKAALDAINF
IEDLKAKGLITE</t>
  </si>
  <si>
    <t>thioredoxin-disulfide reductase</t>
  </si>
  <si>
    <t>cren1_8best_scaffolds_00013800</t>
  </si>
  <si>
    <t>ATGAAGGTTTACGATTTAACCTTTGAAATTGAAAATGGAATGGTGCATTT
TGAAGGCGATCCTGTTCCCAAAATAATTCAAGTTAAAAGCATCAAAGAAA
ATGGTTATAACGTTAAGGAAATCCATATGGGGACGCATACATCAACACAT
ATTGATGCGCCTTCGCATTTCATTGAAGGAGGAGCTAGCGTTGAAAAAAT
TGATCCTTTGGCATTATGTGGGATTTACCAAGTAATAGATGCAAGTGAAA
AGAAAGGAATAACTAAAGAAGTAATTCAGAAGGCAAAAAATGAAAAAGTA
TTATTCTATACTGGTAGCAACCTTGAATGGAATGTAGAAAAAATTTTCAA
GAATTATTCTTACATCACAAGGGAAGCTGCAGAAGAAATTGTTAATAAGG
GAATAAAAGTTGTAGGAATTGACTCACCTACGGTTGAAGAACCTTATGAG
AAGAATTTTCCTACACATAAAATCCTTTTAGGAAATAACGTTTTAATTAT
CGAGAACTTAAACTCTAAACTTTTGAAATCAATAGTAGGGAAAAGTGTTT
TAGTTATAGCTTTACCTCTGAAAATTAAAGACGGTGATGGTTCTCCTGTA
AGAGTATTAGCAATTGAAATATGA</t>
  </si>
  <si>
    <t>MKVYDLTFEIENGMVHFEGDPVPKIIQVKSIKENGYNVKEIHMGTHTSTH
IDAPSHFIEGGASVEKIDPLALCGIYQVIDASEKKGITKEVIQKAKNEKV
LFYTGSNLEWNVEKIFKNYSYITREAAEEIVNKGIKVVGIDSPTVEEPYE
KNFPTHKILLGNNVLIIENLNSKLLKSIVGKSVLVIALPLKIKDGDGSPV
RVLAIEI</t>
  </si>
  <si>
    <t>cren1_8best_scaffolds_00019190</t>
  </si>
  <si>
    <t>ATGTCTGACTACGAAGCAATAGACGTTCATTGTCATTTTTTCCCAATACG
TATATTTAAAAAATTAAGTAAGAAATATAATAAATTCAATCTAGATATAA
AATCTGAAGGAGATTTAGCAAATATTAGAATAAGTATAGGTAATGTAAGA
TATAGCGGCACAGTAAAAGGCGGGTTTTTAGATTTTGATAAGTTAGTTAA
AGATTCCTTAACAAAACATAAGATCATTAGAATAATTTCAATTGCTCCAA
TATCATTCTTTTATGAGTTGGATATTGAAATAGCTGATGAATTATATAGG
GAATTCAATAATTTGGCTTCAGAATTAAGTGAAAAATATAAGGATATTGT
TAGTTTTATGGCAGGAATTCCGCTTCAAGATCCTAGCAAAGCAATTGAGG
AATTAAAGAGAGCTATAATAGATTTGGGATTGAAGGGTGTAGCAATAGGA
ACAAATGTGGTAGGGAAGAATTTAGATCATCCTACTCTAAGGAAATTTTT
TATAGAAGCTAATAGATTGAATGTACCCATATTCTTACATCCCGCGTATG
TTGCGGCTAAAAGCAGATTAAAAAGATATTATTTGACGAATATAATAGGG
AATCCTTTAGATACAACAATTGCGGTGGGGTCGCTTATATTCAGTGGGCT
TCTAGATCAGCTAAGCAATTTAAAATTTGTACTGGCACATGGTGGAGGAT
TTTTTCCTTATCAATTAGGAAGATTTGAACATGGGTATCATGTAAGAGAA
GAAACGAAATTTAAAGCTAAACAATCACCTAAGTACTACTTAAGACACTT
TTATTTTGATACGATCTTGCACGATAAAGAAGCCCTTAATTTTTTAATTA
GACAAGTTGGTCCTGAGAAGATTATTATGGGTAGTGATTATCCTTTCGAT
ATGGGATACGACAATCCAGTTGATGTGATTGAATCATTAGAACTTGCAGG
AAATATTAAAAATATGATATTAATAGAAAATGCTATAAAACTATTCAAAT
TAGAATGA</t>
  </si>
  <si>
    <t xml:space="preserve">MSDYEAIDVHCHFFPIRIFKKLSKKYNKFNLDIKSEGDLANIRISIGNVR
YSGTVKGGFLDFDKLVKDSLTKHKIIRIISIAPISFFYELDIEIADELYR
EFNNLASELSEKYKDIVSFMAGIPLQDPSKAIEELKRAIIDLGLKGVAIG
TNVVGKNLDHPTLRKFFIEANRLNVPIFLHPAYVAAKSRLKRYYLTNIIG
NPLDTTIAVGSLIFSGLLDQLSNLKFVLAHGGGFFPYQLGRFEHGYHVRE
ETKFKAKQSPKYYLRHFYFDTILHDKEALNFLIRQVGPEKIIMGSDYPFD
MGYDNPVDVIESLELAGNIKNMILIENAIKLFKLE
</t>
  </si>
  <si>
    <t>cren1_8best_scaffolds_00014740</t>
  </si>
  <si>
    <t>ATGGGGGCTAGAACTGGAAAACAATACTTGGAGGAAATAGATAGTACGCC
TAGGGAAGTTTGGTACGGAGGAGAAAAAATTACTCATGGAATAACAAAGC
ATCCCGCCTTTAAAGGAATAGCTCAGACAATGGCAAAGCTTTATGATTTG
CAACATGATCCTGAACTTATCGATATAATGACATATATTTCACCCAAAAG
CGGAGAAAGAGTGGGAACAAGTTTCCTAATGCCAAAGACAATAGAAGACT
TAGCTAAGAGAACAAGGATGATGAAAATATGGGCTGATTATTCCTTTGGA
CTCCTCGGCAGAACACCTGATTATTTAAATAGCGCTTTAATGGCAATGGC
AGCAGCTTCTGAATTTTTTGGAAAGAATGCAAAAGTCAACTTTGCTGAAA
ACGTTGTAAAATATTATGAATATGTTAGGGAAAAGGATCTTCTATTGACT
CACACTCTTATTAATCCCCAAGTTAACAGGTCTGTTGGTCCATCAAAGCA
AGTAGATCCGTTTATTGCAGCAAGAATAGTTGAGAAAAATTCTGAAGGTG
TCGTTGTAAGAGGAGCTAGGATGCTGGCGACATTTCCTTTAGCAGATGAG
ATTTTGGTTTTTCCTTCGACCGTTTTAAGATCAGGTCAGGACGATATGCC
TTATGCAATGGCCTTTGCTTTACCTGTTAGTACACCAGGATTGAAATTCA
TTTGTAGAGAGAGCTTTGCAAATGAATCTAAATTGGATCATCCTCTATCT
TCTAGATTCGATGAGCAAGATGCGGTTGTTGTATTCGATGATGTTTTAGT
TCCTTGGGAAAGGATTTTCATTCTTGAAGATCCCGAAAGAGCCAATTTGT
ATAGCGATGCAACAAATGCAGTTGTTTTCATGGCGCATCAATCTTTAATA
AGAGAAATATCCAAATGCGAATTTGTTTTAGGTCTCGCAACCTTAATGGC
TGAAACCATTGGAATAGATCAATTCCAACATGTTCAAGAAAAGATAGCTG
AGATAATAATGATAACTGAATCAATGAGAGCATTTTTAGTAGCTAGCGAA
GCCAATGCAACAATAAGCCAGTGGGGAATACTTACACCAGATAAAACTTT
CTTGAATGCCGCAAGAAACCTATGGCCAAGATTAGCACATAGGTTAAATG
AAATAATAAGGCAGCTTGGAGCAAGCGGTCTAATGACAATTCCGCCTGCT
GATATTTTGAATTCAGAAGCAAGGAAATATGTTGATAGGTATTTGCAGGC
TAAATTAGCAAATGCTGAAGAAAGGTTAAAGCTCTTCAAACTAGCATGGG
ATTTTGTAGGAACTTCATTCGGTAGCAGACAGGATTTGTATGAATTCTTT
TTCTTTGGAGATCCTGTTAGAATGGCTTCAAATCTTTACAACTGGTATAA
TAAAGAAAAATTCAAAGAAAGAGTAAAGAAATTACTTCAAAGAAATGAGC
TTTGA</t>
  </si>
  <si>
    <t>MGARTGKQYLEEIDSTPREVWYGGEKITHGITKHPAFKGIAQTMAKLYDL
QHDPELIDIMTYISPKSGERVGTSFLMPKTIEDLAKRTRMMKIWADYSFG
LLGRTPDYLNSALMAMAAASEFFGKNAKVNFAENVVKYYEYVREKDLLLT
HTLINPQVNRSVGPSKQVDPFIAARIVEKNSEGVVVRGARMLATFPLADE
ILVFPSTVLRSGQDDMPYAMAFALPVSTPGLKFICRESFANESKLDHPLS
SRFDEQDAVVVFDDVLVPWERIFILEDPERANLYSDATNAVVFMAHQSLI
REISKCEFVLGLATLMAETIGIDQFQHVQEKIAEIIMITESMRAFLVASE
ANATISQWGILTPDKTFLNAARNLWPRLAHRLNEIIRQLGASGLMTIPPA
DILNSEARKYVDRYLQAKLANAEERLKLFKLAWDFVGTSFGSRQDLYEFF
FFGDPVRMASNLYNWYNKEKFKERVKKLLQRNEL</t>
  </si>
  <si>
    <t>cren1_8best_scaffolds_00014750</t>
  </si>
  <si>
    <t>ATGAGCTCGAAAATTTTGGAGGAATTGAAGCACTTCATTAATGGAAAATT
TGAAGATTCTGAAAATAAGGATAGATTTTCCTTCTTAAATCCTTCCAATA
ACGAAGTAATTGGAAATATTCCCGTTGGATGTAAGGAAGATGTTGATAAA
GCTGTTATTGCAGCAAATAGATCTTTTAAAAACTTATGGAGCAAAATGCC
AATTTCAAAAAGATCCGATCTTATTTATGATATTTCAAGATTAATAATGA
AGTATTCTCATGAATTATCTTATATTGAAGCTATCAATACGGGAATACCG
ATAACTCAAGTAAGAGCTCAAATCGAAAGAGCCGCTGAAAATTTCAAGTT
TTTCGCAGAAATTGCAGATAAAGTACTTGGAGAAGCTTATGTTTTCGATG
ACAAATTCATTAATTATGCAATAAGACAACCGATTGGTGTAGCTGCTTTA
ATAACTCCATGGAATACGCCTTTAATGCTTGAAACATGGAAAATTGCTCC
ATGTATAGCTACAGGAAACACATGCATATTAAAACCTGCTGAATGGACGC
CATTAAGTGCTAACAAACTAGCTTTAATAATACATGAAGCAGGAATCCCA
GAAGGAGTTTTAAACATAGTGCATGGAATTGGCGAAGTTAGTGGCGCTGA
ACTAGTAGCTCATCCAGGCGTAAAGCTAGTGTCTTTTACAGGAGAAACAG
TAACTGGAATGGAAATAATGAGGAACGGTGCATCAACCTTAAAGAGATAT
TCGATGGAACTTGGAGGAAAAAATCCAGCAATAGTATTTTCTGATGCCGA
CTTAAAAAGGGCATTGGATGCTGTAGTTTTCATGGCATATTCTTTAAACG
GTGAAAGATGCACTTCAAATTCCAGAGTCCTTATTGAGGAAAAGATCTAC
GATGATTTTATTGAGATGATCCATGAGAGGATTAAAAGAATAAAAATAGG
GGATCCTTTGGATGAAACAACCGAACTTGGACCATTAGTTAGACCTGAGC
ATTGGGATAGAGTAAAGAAATACATAAACATAGGAATTGAAGAAGGTGCT
AAGCTAGTATACGGAGGAGAAAGACCAGAAGGATTTAAGAGTGGAAACTA
TTTGATGCCGACTTTGTTTAAAGACTGTAGTAAAGAAATGAAAATAGCAA
GGGAAGAAATATTCGGACCAGTTTTAATTGCAATGAAGTTCAGAAGCGAA
AATGAAGCAATTGATATATCAAATGATACTATTTACGGCTTAACCGCTTA
TATTTGGACAAAAGATATTGAAAGAGCAAACAGGATTGCAAAAGAATTGG
AATGTGGAATGATTTGGATAAACTCTCATAACGTAAGGGATCTTCGAACA
CCTTTTGGAGGAGCAAAATATAGTGGAATAGGAAGAGAAGGAGGAAGATT
CAGCTTCGATTTCTATACAGAGTGGAAAACAATACAAGTTGCACTTGGAA
CGCATAAAATACCTACATTTGGTTTGAATAGATAA</t>
  </si>
  <si>
    <t>MSSKILEELKHFINGKFEDSENKDRFSFLNPSNNEVIGNIPVGCKEDVDK
AVIAANRSFKNLWSKMPISKRSDLIYDISRLIMKYSHELSYIEAINTGIP
ITQVRAQIERAAENFKFFAEIADKVLGEAYVFDDKFINYAIRQPIGVAAL
ITPWNTPLMLETWKIAPCIATGNTCILKPAEWTPLSANKLALIIHEAGIP
EGVLNIVHGIGEVSGAELVAHPGVKLVSFTGETVTGMEIMRNGASTLKRY
SMELGGKNPAIVFSDADLKRALDAVVFMAYSLNGERCTSNSRVLIEEKIY
DDFIEMIHERIKRIKIGDPLDETTELGPLVRPEHWDRVKKYINIGIEEGA
KLVYGGERPEGFKSGNYLMPTLFKDCSKEMKIAREEIFGPVLIAMKFRSE
NEAIDISNDTIYGLTAYIWTKDIERANRIAKELECGMIWINSHNVRDLRT
PFGGAKYSGIGREGGRFSFDFYTEWKTIQVALGTHKIPTFGLNR</t>
  </si>
  <si>
    <t>cren1_8best_scaffolds_00014710</t>
  </si>
  <si>
    <t>ATGAGAATTGGACGTTTTTTGTATAAGAATAAAGTTATAGAAGGAATAAT
TGAGGATAACTTAGTAAAATCTGAGGGAGAGTATTTTGAAATTAATAGCC
TAAAATTCCTACCGCCATGCGAACCAAGAAACATATTTGGGCTTGTTTTA
AACTATGCTGATCATGCTGATGAACTCGGACTAAAAACTTCGGAAGAACC
TATTGTATTTATGAAACCAACAAGTAGCATTGTTGCTCATATGGAAAGGA
TAATCTATCCAAGGGGTGTAAATTTCTTACATTATGAAGGAGAGCTTGCT
ATAGTAATTGGTAAAGATTGTAGGAAAGTAAAAGCAAACGAAGTAGCTAA
TTATATACTTGGATATACTATTGCAAATGATGTAACTGCGAGAGATTTTA
TAACATCAACTTTCCGGCCGCCAATTAAAGCCAAAGGCTTCGATTCGTTC
TGTCCAGTTGGACCTTGGATTGTCACATTGGACGAAATAGGTGTTAACCC
TAAACTTGATATAGAAACCAAAGTAAATGGAGAGATAAAGCAAAAGAGCA
ACACAAGTCTGATGATCCACACAATCCCTAAGATAATAGAGTTTTTATCC
AGTTTTACTACTTTAAAAAGAGGAGATCTAATACTCACAGGAACCCCAAA
AGGAATTCATCCTTTAAAACCAGGAGATGTGGTTGAAATTACTATAGAGA
AAATAGGAACATTGAAGAACTTTGTCGTTGAAGAGGAATCAATTTAA</t>
  </si>
  <si>
    <t>MRIGRFLYKNKVIEGIIEDNLVKSEGEYFEINSLKFLPPCEPRNIFGLVL
NYADHADELGLKTSEEPIVFMKPTSSIVAHMERIIYPRGVNFLHYEGELA
IVIGKDCRKVKANEVANYILGYTIANDVTARDFITSTFRPPIKAKGFDSF
CPVGPWIVTLDEIGVNPKLDIETKVNGEIKQKSNTSLMIHTIPKIIEFLS
SFTTLKRGDLILTGTPKGIHPLKPGDVVEITIEKIGTLKNFVVEEESI</t>
  </si>
  <si>
    <t>set to match 10.1007/BF00413481 for glucose yield</t>
  </si>
  <si>
    <t>#prevent UMP cycling</t>
  </si>
  <si>
    <t>#prevent GMP cycling</t>
  </si>
  <si>
    <t>;</t>
  </si>
  <si>
    <t>#prevents Lysine cycles</t>
  </si>
  <si>
    <t xml:space="preserve">33 ATP + 33 H2O + 1 myell_protein_ext = 33 ADP + 1 myell_protein + 33 Phosphate + 33 Proton </t>
  </si>
  <si>
    <t>Worksheet</t>
  </si>
  <si>
    <t>Description</t>
  </si>
  <si>
    <t>Master</t>
  </si>
  <si>
    <t>Reactions</t>
  </si>
  <si>
    <t>Metabolites</t>
  </si>
  <si>
    <t>BIOMASS_Myell</t>
  </si>
  <si>
    <t>BIOMASS_Geo</t>
  </si>
  <si>
    <t>grfile</t>
  </si>
  <si>
    <t>Gene regulatory information for running RegEFMTool</t>
  </si>
  <si>
    <t>Describes biomass formulation for Geoarcheaota biomass</t>
  </si>
  <si>
    <t>Describes biomass formulation for Metalospheara biomass</t>
  </si>
  <si>
    <t>Reactions and additional gene information</t>
  </si>
  <si>
    <t>The model was constructed for archaeal glycolytic features and without ferredoxin, the resulting biomass did not fit both the oxygen and carbon yields for sulfolobus.  To assess the cause, ash content and atp synthase efficiency were considered.  ATP synthase efficiency was not able to correct for the oxygen yield because it did not change the biomass/energy ratio of the carbon yield.  This was achieved by including ash as a biomass component, however 40-50% ash was required, which seemed unrealistic.  To consider ash from another angle it is possible ash was inflated in the measured cells by incorrect biomass determination methods, which were not available for the 70.2 g/mol values.  Using this logic biomass yields were used for alicyclobacillus acidocaldarius, presumably independant of ash.  HOWEVER, when calibrating to the new numbers the maintanance energy created numerical issues (215 ATP/kgBIO).  To remedy this, the model was calibrated to the less efficient terminal oxidase (150 ATP/kgBIO) because components of the more efficient terminal oxidase were assumed and it is more easily quantified than ATP synthase efficiency.</t>
  </si>
  <si>
    <t>Reactions and reversibilities (grey highlighted information is directly compatible with CNA)</t>
  </si>
  <si>
    <t>Metabolites and composistions (red highlighted metabolites were potential external metabolites, such as nutrients and carbon sources)</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</si>
</sst>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vertAlign val="subscript"/>
      <sz val="12"/>
      <color theme="1"/>
      <name val="Calibri"/>
      <family val="2"/>
      <scheme val="minor"/>
    </font>
    <font>
      <vertAlign val="subscript"/>
      <sz val="11"/>
      <color theme="1"/>
      <name val="Calibri"/>
      <family val="2"/>
      <scheme val="minor"/>
    </font>
    <font>
      <sz val="10"/>
      <name val="Arial"/>
      <family val="2"/>
    </font>
    <font>
      <sz val="11"/>
      <color theme="1"/>
      <name val="Calibri"/>
      <family val="2"/>
      <scheme val="minor"/>
    </font>
    <font>
      <sz val="12"/>
      <color theme="1"/>
      <name val="Calibri"/>
      <family val="2"/>
      <scheme val="minor"/>
    </font>
    <font>
      <b/>
      <sz val="12"/>
      <color theme="1"/>
      <name val="Calibri"/>
      <family val="2"/>
      <scheme val="minor"/>
    </font>
    <font>
      <vertAlign val="subscript"/>
      <sz val="11"/>
      <color indexed="8"/>
      <name val="Calibri"/>
      <family val="2"/>
    </font>
    <font>
      <b/>
      <u/>
      <sz val="11"/>
      <color theme="1"/>
      <name val="Calibri"/>
      <family val="2"/>
      <scheme val="minor"/>
    </font>
    <font>
      <sz val="11"/>
      <name val="Calibri"/>
      <family val="2"/>
      <scheme val="minor"/>
    </font>
  </fonts>
  <fills count="6">
    <fill>
      <patternFill patternType="none"/>
    </fill>
    <fill>
      <patternFill patternType="gray125"/>
    </fill>
    <fill>
      <patternFill patternType="solid">
        <fgColor rgb="FF92D05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s>
  <borders count="1">
    <border>
      <left/>
      <right/>
      <top/>
      <bottom/>
      <diagonal/>
    </border>
  </borders>
  <cellStyleXfs count="32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7" fillId="0" borderId="0"/>
    <xf numFmtId="9" fontId="8" fillId="0" borderId="0" applyFont="0" applyFill="0" applyBorder="0" applyAlignment="0" applyProtection="0"/>
    <xf numFmtId="0" fontId="2" fillId="0" borderId="0" applyNumberFormat="0" applyFill="0" applyBorder="0" applyAlignment="0" applyProtection="0"/>
    <xf numFmtId="0" fontId="9" fillId="0" borderId="0"/>
  </cellStyleXfs>
  <cellXfs count="44">
    <xf numFmtId="0" fontId="0" fillId="0" borderId="0" xfId="0"/>
    <xf numFmtId="0" fontId="0" fillId="0" borderId="0" xfId="0" applyFont="1" applyAlignment="1">
      <alignment vertical="center"/>
    </xf>
    <xf numFmtId="0" fontId="0" fillId="0" borderId="0" xfId="0" applyFont="1" applyFill="1" applyAlignment="1">
      <alignment vertical="center"/>
    </xf>
    <xf numFmtId="0" fontId="0" fillId="0" borderId="0" xfId="0" applyFill="1"/>
    <xf numFmtId="0" fontId="7" fillId="0" borderId="0" xfId="323" applyFill="1" applyAlignment="1">
      <alignment horizontal="center"/>
    </xf>
    <xf numFmtId="0" fontId="9" fillId="0" borderId="0" xfId="326"/>
    <xf numFmtId="2" fontId="9" fillId="0" borderId="0" xfId="326" applyNumberFormat="1"/>
    <xf numFmtId="0" fontId="9" fillId="0" borderId="0" xfId="326" applyAlignment="1">
      <alignment horizontal="right"/>
    </xf>
    <xf numFmtId="0" fontId="9" fillId="0" borderId="0" xfId="326" applyFont="1" applyAlignment="1"/>
    <xf numFmtId="0" fontId="9" fillId="0" borderId="0" xfId="326" applyAlignment="1">
      <alignment horizontal="center"/>
    </xf>
    <xf numFmtId="0" fontId="9" fillId="0" borderId="0" xfId="326" applyAlignment="1"/>
    <xf numFmtId="0" fontId="10" fillId="0" borderId="0" xfId="326" applyFont="1"/>
    <xf numFmtId="0" fontId="10" fillId="0" borderId="0" xfId="326" quotePrefix="1" applyFont="1"/>
    <xf numFmtId="0" fontId="9" fillId="0" borderId="0" xfId="326" applyAlignment="1">
      <alignment vertical="center"/>
    </xf>
    <xf numFmtId="0" fontId="0" fillId="0" borderId="0" xfId="0" applyAlignment="1">
      <alignment vertical="center"/>
    </xf>
    <xf numFmtId="2" fontId="9" fillId="0" borderId="0" xfId="326" applyNumberFormat="1" applyAlignment="1">
      <alignment vertical="center"/>
    </xf>
    <xf numFmtId="0" fontId="9" fillId="0" borderId="0" xfId="326" applyFont="1" applyAlignment="1">
      <alignment vertical="center"/>
    </xf>
    <xf numFmtId="9" fontId="9" fillId="0" borderId="0" xfId="324" applyFont="1" applyAlignment="1">
      <alignment vertical="center"/>
    </xf>
    <xf numFmtId="10" fontId="9" fillId="0" borderId="0" xfId="324" applyNumberFormat="1" applyFont="1" applyAlignment="1">
      <alignment vertical="center"/>
    </xf>
    <xf numFmtId="0" fontId="9" fillId="0" borderId="0" xfId="0" applyFont="1" applyAlignment="1">
      <alignment vertical="center"/>
    </xf>
    <xf numFmtId="10" fontId="9" fillId="0" borderId="0" xfId="0" applyNumberFormat="1" applyFont="1" applyAlignment="1">
      <alignment vertical="center"/>
    </xf>
    <xf numFmtId="0" fontId="10" fillId="0" borderId="0" xfId="0" applyFont="1" applyAlignment="1">
      <alignment vertical="center"/>
    </xf>
    <xf numFmtId="0" fontId="10" fillId="0" borderId="0" xfId="326" applyFont="1" applyAlignment="1">
      <alignment vertical="center"/>
    </xf>
    <xf numFmtId="0" fontId="2" fillId="0" borderId="0" xfId="325" applyFill="1"/>
    <xf numFmtId="0" fontId="1" fillId="0" borderId="0" xfId="0" applyFont="1" applyFill="1" applyAlignment="1">
      <alignment vertical="center"/>
    </xf>
    <xf numFmtId="0" fontId="0" fillId="0" borderId="0" xfId="0" applyFont="1" applyFill="1" applyAlignment="1">
      <alignment vertical="center" wrapText="1"/>
    </xf>
    <xf numFmtId="0" fontId="0" fillId="2" borderId="0" xfId="0" applyFill="1"/>
    <xf numFmtId="0" fontId="0" fillId="3" borderId="0" xfId="0" applyFont="1" applyFill="1" applyAlignment="1">
      <alignment vertical="center"/>
    </xf>
    <xf numFmtId="0" fontId="0" fillId="3" borderId="0" xfId="0" applyFill="1"/>
    <xf numFmtId="0" fontId="0" fillId="0" borderId="0" xfId="0" applyFont="1" applyFill="1"/>
    <xf numFmtId="0" fontId="9" fillId="0" borderId="0" xfId="326" applyFill="1"/>
    <xf numFmtId="0" fontId="9" fillId="0" borderId="0" xfId="326" applyFill="1" applyAlignment="1">
      <alignment vertical="center"/>
    </xf>
    <xf numFmtId="0" fontId="0" fillId="3" borderId="0" xfId="0" applyFont="1" applyFill="1" applyAlignment="1">
      <alignment vertical="center" wrapText="1"/>
    </xf>
    <xf numFmtId="0" fontId="9" fillId="0" borderId="0" xfId="326" applyNumberFormat="1"/>
    <xf numFmtId="0" fontId="0" fillId="0" borderId="0" xfId="0" applyAlignment="1">
      <alignment wrapText="1"/>
    </xf>
    <xf numFmtId="0" fontId="0" fillId="0" borderId="0" xfId="0" quotePrefix="1" applyFill="1"/>
    <xf numFmtId="0" fontId="12" fillId="0" borderId="0" xfId="0" applyFont="1"/>
    <xf numFmtId="0" fontId="0" fillId="4" borderId="0" xfId="0" applyFill="1"/>
    <xf numFmtId="0" fontId="13" fillId="0" borderId="0" xfId="0" applyFont="1" applyFill="1"/>
    <xf numFmtId="2" fontId="13" fillId="0" borderId="0" xfId="0" applyNumberFormat="1" applyFont="1" applyFill="1"/>
    <xf numFmtId="0" fontId="0" fillId="5" borderId="0" xfId="0" applyFill="1"/>
    <xf numFmtId="0" fontId="9" fillId="5" borderId="0" xfId="326" applyFill="1" applyAlignment="1">
      <alignment vertical="center"/>
    </xf>
    <xf numFmtId="0" fontId="0" fillId="5" borderId="0" xfId="0" quotePrefix="1" applyFill="1"/>
    <xf numFmtId="2" fontId="0" fillId="5" borderId="0" xfId="0" applyNumberFormat="1" applyFill="1"/>
  </cellXfs>
  <cellStyles count="32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5" builtinId="8"/>
    <cellStyle name="Normal" xfId="0" builtinId="0"/>
    <cellStyle name="Normal 2" xfId="323"/>
    <cellStyle name="Normal 2 2" xfId="326"/>
    <cellStyle name="Percent" xfId="32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img.jgi.doe.gov/cgi-bin/w/main.cgi?section=TaxonDetail&amp;page=taxonDetail&amp;taxon_oid=2504756013"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0"/>
  <sheetViews>
    <sheetView tabSelected="1" workbookViewId="0">
      <selection activeCell="E51" sqref="E51"/>
    </sheetView>
  </sheetViews>
  <sheetFormatPr defaultRowHeight="15" x14ac:dyDescent="0.25"/>
  <cols>
    <col min="2" max="2" width="15.28515625" bestFit="1" customWidth="1"/>
    <col min="7" max="7" width="53.28515625" bestFit="1" customWidth="1"/>
  </cols>
  <sheetData>
    <row r="2" spans="2:3" x14ac:dyDescent="0.25">
      <c r="B2" s="36" t="s">
        <v>2633</v>
      </c>
      <c r="C2" s="36" t="s">
        <v>2634</v>
      </c>
    </row>
    <row r="4" spans="2:3" x14ac:dyDescent="0.25">
      <c r="B4" t="s">
        <v>2635</v>
      </c>
      <c r="C4" t="s">
        <v>2644</v>
      </c>
    </row>
    <row r="6" spans="2:3" x14ac:dyDescent="0.25">
      <c r="B6" t="s">
        <v>2636</v>
      </c>
      <c r="C6" t="s">
        <v>2646</v>
      </c>
    </row>
    <row r="8" spans="2:3" x14ac:dyDescent="0.25">
      <c r="B8" t="s">
        <v>2637</v>
      </c>
      <c r="C8" t="s">
        <v>2647</v>
      </c>
    </row>
    <row r="10" spans="2:3" x14ac:dyDescent="0.25">
      <c r="B10" t="s">
        <v>2638</v>
      </c>
      <c r="C10" t="s">
        <v>2643</v>
      </c>
    </row>
    <row r="12" spans="2:3" x14ac:dyDescent="0.25">
      <c r="B12" t="s">
        <v>2639</v>
      </c>
      <c r="C12" t="s">
        <v>2642</v>
      </c>
    </row>
    <row r="14" spans="2:3" x14ac:dyDescent="0.25">
      <c r="B14" t="s">
        <v>2640</v>
      </c>
      <c r="C14" t="s">
        <v>2641</v>
      </c>
    </row>
    <row r="20" spans="7:7" x14ac:dyDescent="0.25">
      <c r="G20" s="3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693"/>
  <sheetViews>
    <sheetView zoomScale="70" zoomScaleNormal="70" workbookViewId="0">
      <selection activeCell="C697" sqref="C697"/>
    </sheetView>
  </sheetViews>
  <sheetFormatPr defaultColWidth="8.85546875" defaultRowHeight="15" customHeight="1" x14ac:dyDescent="0.25"/>
  <cols>
    <col min="1" max="1" width="7.7109375" style="2" customWidth="1"/>
    <col min="2" max="2" width="33.140625" style="2" customWidth="1"/>
    <col min="3" max="3" width="134.5703125" style="2" customWidth="1"/>
    <col min="4" max="4" width="15.85546875" style="2" customWidth="1"/>
    <col min="5" max="5" width="88.5703125" style="2" customWidth="1"/>
    <col min="6" max="6" width="10.42578125" style="2" bestFit="1" customWidth="1"/>
    <col min="7" max="7" width="15.7109375" style="2" bestFit="1" customWidth="1"/>
    <col min="8" max="8" width="8" style="2" customWidth="1"/>
    <col min="9" max="9" width="9" style="2" customWidth="1"/>
    <col min="10" max="10" width="7.140625" style="2" customWidth="1"/>
    <col min="11" max="11" width="8.85546875" style="2"/>
    <col min="12" max="12" width="33.85546875" style="2" bestFit="1" customWidth="1"/>
    <col min="13" max="13" width="8.85546875" style="2"/>
    <col min="14" max="14" width="17" style="2" customWidth="1"/>
    <col min="15" max="16384" width="8.85546875" style="2"/>
  </cols>
  <sheetData>
    <row r="1" spans="1:13" ht="15" customHeight="1" x14ac:dyDescent="0.25">
      <c r="A1" s="23" t="s">
        <v>1900</v>
      </c>
      <c r="B1" s="23"/>
    </row>
    <row r="2" spans="1:13" s="24" customFormat="1" ht="15" customHeight="1" x14ac:dyDescent="0.25">
      <c r="A2" s="24" t="s">
        <v>1984</v>
      </c>
      <c r="B2" s="24" t="s">
        <v>2361</v>
      </c>
      <c r="C2" s="24" t="s">
        <v>0</v>
      </c>
      <c r="D2" s="24" t="s">
        <v>196</v>
      </c>
      <c r="E2" s="24" t="s">
        <v>211</v>
      </c>
      <c r="F2" s="24" t="s">
        <v>2</v>
      </c>
      <c r="G2" s="24" t="s">
        <v>6</v>
      </c>
      <c r="H2" s="24" t="s">
        <v>3</v>
      </c>
      <c r="I2" s="24" t="s">
        <v>4</v>
      </c>
      <c r="J2" s="24" t="s">
        <v>5</v>
      </c>
      <c r="L2" s="24" t="s">
        <v>204</v>
      </c>
      <c r="M2" s="24" t="s">
        <v>2159</v>
      </c>
    </row>
    <row r="3" spans="1:13" s="27" customFormat="1" ht="15" customHeight="1" x14ac:dyDescent="0.25">
      <c r="C3" s="27" t="s">
        <v>2064</v>
      </c>
    </row>
    <row r="4" spans="1:13" ht="15" customHeight="1" x14ac:dyDescent="0.25">
      <c r="A4" s="2" t="str">
        <f>IF(EXACT(F4,"N"),CONCATENATE("R",ROW()),IF(EXACT(F4,"Y"),CONCATENATE("R",ROW()),""))</f>
        <v>R4</v>
      </c>
      <c r="B4" s="2" t="s">
        <v>2593</v>
      </c>
      <c r="C4" s="2" t="s">
        <v>52</v>
      </c>
      <c r="D4" s="2" t="s">
        <v>197</v>
      </c>
      <c r="E4" s="2" t="s">
        <v>201</v>
      </c>
      <c r="F4" s="2" t="s">
        <v>746</v>
      </c>
      <c r="G4" s="2">
        <v>2504814484</v>
      </c>
      <c r="H4" s="2" t="s">
        <v>198</v>
      </c>
      <c r="I4" s="2" t="s">
        <v>199</v>
      </c>
      <c r="J4" s="2" t="s">
        <v>202</v>
      </c>
      <c r="K4" s="2" t="s">
        <v>2076</v>
      </c>
      <c r="M4" s="2">
        <v>1</v>
      </c>
    </row>
    <row r="5" spans="1:13" ht="15" customHeight="1" x14ac:dyDescent="0.25">
      <c r="K5" s="2" t="s">
        <v>2076</v>
      </c>
    </row>
    <row r="6" spans="1:13" ht="15" customHeight="1" x14ac:dyDescent="0.25">
      <c r="A6" s="2" t="str">
        <f>IF(EXACT(F6,"N"),CONCATENATE("R",ROW()),IF(EXACT(F6,"Y"),CONCATENATE("R",ROW()),""))</f>
        <v>R6</v>
      </c>
      <c r="B6" s="2" t="s">
        <v>2595</v>
      </c>
      <c r="C6" s="2" t="s">
        <v>45</v>
      </c>
      <c r="D6" s="2" t="s">
        <v>2592</v>
      </c>
      <c r="E6" s="2" t="s">
        <v>205</v>
      </c>
      <c r="F6" s="2" t="s">
        <v>746</v>
      </c>
      <c r="G6" s="2">
        <v>2504813322</v>
      </c>
      <c r="H6" s="2" t="s">
        <v>206</v>
      </c>
      <c r="I6" s="2" t="s">
        <v>207</v>
      </c>
      <c r="J6" s="2" t="s">
        <v>208</v>
      </c>
      <c r="K6" s="2" t="s">
        <v>2076</v>
      </c>
      <c r="L6" s="2" t="s">
        <v>203</v>
      </c>
      <c r="M6" s="2">
        <v>1</v>
      </c>
    </row>
    <row r="7" spans="1:13" ht="15" customHeight="1" x14ac:dyDescent="0.25">
      <c r="K7" s="2" t="s">
        <v>2076</v>
      </c>
    </row>
    <row r="8" spans="1:13" ht="15" customHeight="1" x14ac:dyDescent="0.25">
      <c r="A8" s="2" t="str">
        <f>IF(EXACT(F8,"N"),CONCATENATE("R",ROW()),IF(EXACT(F8,"Y"),CONCATENATE("R",ROW()),""))</f>
        <v>R8</v>
      </c>
      <c r="B8" s="2" t="s">
        <v>2594</v>
      </c>
      <c r="C8" s="2" t="s">
        <v>44</v>
      </c>
      <c r="D8" s="2" t="s">
        <v>209</v>
      </c>
      <c r="E8" s="2" t="s">
        <v>210</v>
      </c>
      <c r="F8" s="2" t="s">
        <v>776</v>
      </c>
      <c r="G8" s="2">
        <v>2504813846</v>
      </c>
      <c r="H8" s="2" t="s">
        <v>212</v>
      </c>
      <c r="I8" s="2" t="s">
        <v>213</v>
      </c>
      <c r="J8" s="2" t="s">
        <v>214</v>
      </c>
      <c r="K8" s="2" t="s">
        <v>2076</v>
      </c>
      <c r="M8" s="2">
        <v>1</v>
      </c>
    </row>
    <row r="9" spans="1:13" ht="15" customHeight="1" x14ac:dyDescent="0.25">
      <c r="K9" s="2" t="s">
        <v>2076</v>
      </c>
    </row>
    <row r="10" spans="1:13" ht="15" customHeight="1" x14ac:dyDescent="0.25">
      <c r="A10" s="2" t="str">
        <f>IF(EXACT(F10,"N"),CONCATENATE("R",ROW()),IF(EXACT(F10,"Y"),CONCATENATE("R",ROW()),""))</f>
        <v>R10</v>
      </c>
      <c r="B10" s="2" t="s">
        <v>2357</v>
      </c>
      <c r="C10" s="2" t="s">
        <v>2059</v>
      </c>
      <c r="D10" s="2" t="s">
        <v>2060</v>
      </c>
      <c r="E10" s="2" t="s">
        <v>376</v>
      </c>
      <c r="F10" s="2" t="s">
        <v>746</v>
      </c>
      <c r="K10" s="2" t="s">
        <v>2076</v>
      </c>
      <c r="M10" s="2">
        <v>1</v>
      </c>
    </row>
    <row r="11" spans="1:13" ht="15" customHeight="1" x14ac:dyDescent="0.25">
      <c r="K11" s="2" t="s">
        <v>2076</v>
      </c>
    </row>
    <row r="12" spans="1:13" ht="15" customHeight="1" x14ac:dyDescent="0.25">
      <c r="A12" s="2" t="str">
        <f>IF(EXACT(F12,"N"),CONCATENATE("R",ROW()),IF(EXACT(F12,"Y"),CONCATENATE("R",ROW()),""))</f>
        <v>R12</v>
      </c>
      <c r="B12" s="2" t="s">
        <v>2362</v>
      </c>
      <c r="C12" s="2" t="s">
        <v>51</v>
      </c>
      <c r="D12" s="2" t="s">
        <v>215</v>
      </c>
      <c r="E12" s="2" t="s">
        <v>216</v>
      </c>
      <c r="F12" s="2" t="s">
        <v>746</v>
      </c>
      <c r="G12" s="2">
        <v>2504813247</v>
      </c>
      <c r="H12" s="2" t="s">
        <v>217</v>
      </c>
      <c r="I12" s="2" t="s">
        <v>218</v>
      </c>
      <c r="J12" s="2" t="s">
        <v>219</v>
      </c>
      <c r="K12" s="2" t="s">
        <v>2076</v>
      </c>
      <c r="M12" s="2">
        <v>1</v>
      </c>
    </row>
    <row r="13" spans="1:13" ht="15" customHeight="1" x14ac:dyDescent="0.25">
      <c r="A13" s="2" t="str">
        <f>IF(EXACT(F13,"N"),CONCATENATE("R",ROW()),IF(EXACT(F13,"Y"),CONCATENATE("R",ROW()),""))</f>
        <v>R13</v>
      </c>
      <c r="B13" s="2" t="s">
        <v>2363</v>
      </c>
      <c r="C13" s="2" t="s">
        <v>40</v>
      </c>
      <c r="D13" s="2" t="s">
        <v>220</v>
      </c>
      <c r="F13" s="2" t="s">
        <v>776</v>
      </c>
      <c r="K13" s="2" t="s">
        <v>2076</v>
      </c>
      <c r="M13" s="2">
        <v>1</v>
      </c>
    </row>
    <row r="14" spans="1:13" ht="15" customHeight="1" x14ac:dyDescent="0.25">
      <c r="K14" s="2" t="s">
        <v>2076</v>
      </c>
    </row>
    <row r="15" spans="1:13" ht="15" customHeight="1" x14ac:dyDescent="0.25">
      <c r="A15" s="2" t="str">
        <f>IF(EXACT(F15,"N"),CONCATENATE("R",ROW()),IF(EXACT(F15,"Y"),CONCATENATE("R",ROW()),""))</f>
        <v>R15</v>
      </c>
      <c r="B15" s="2" t="s">
        <v>2364</v>
      </c>
      <c r="C15" s="2" t="s">
        <v>49</v>
      </c>
      <c r="D15" s="2" t="s">
        <v>221</v>
      </c>
      <c r="E15" s="2" t="s">
        <v>222</v>
      </c>
      <c r="F15" s="2" t="s">
        <v>776</v>
      </c>
      <c r="G15" s="2">
        <v>2504813248</v>
      </c>
      <c r="H15" s="2" t="s">
        <v>223</v>
      </c>
      <c r="I15" s="2" t="s">
        <v>224</v>
      </c>
      <c r="J15" s="2" t="s">
        <v>225</v>
      </c>
      <c r="K15" s="2" t="s">
        <v>2076</v>
      </c>
      <c r="M15" s="2">
        <v>1</v>
      </c>
    </row>
    <row r="16" spans="1:13" ht="15" customHeight="1" x14ac:dyDescent="0.25">
      <c r="K16" s="2" t="s">
        <v>2076</v>
      </c>
    </row>
    <row r="17" spans="1:13" ht="15" customHeight="1" x14ac:dyDescent="0.25">
      <c r="A17" s="2" t="str">
        <f>IF(EXACT(F17,"N"),CONCATENATE("R",ROW()),IF(EXACT(F17,"Y"),CONCATENATE("R",ROW()),""))</f>
        <v>R17</v>
      </c>
      <c r="B17" s="2" t="s">
        <v>2365</v>
      </c>
      <c r="C17" s="2" t="s">
        <v>2054</v>
      </c>
      <c r="D17" s="2" t="s">
        <v>2055</v>
      </c>
      <c r="E17" s="2" t="s">
        <v>239</v>
      </c>
      <c r="F17" s="2" t="s">
        <v>746</v>
      </c>
      <c r="G17" s="2">
        <v>2504814681</v>
      </c>
      <c r="H17" s="2" t="s">
        <v>2056</v>
      </c>
      <c r="I17" s="2" t="s">
        <v>2057</v>
      </c>
      <c r="J17" s="2" t="s">
        <v>2058</v>
      </c>
      <c r="K17" s="2" t="s">
        <v>2076</v>
      </c>
      <c r="M17" s="2">
        <v>1</v>
      </c>
    </row>
    <row r="18" spans="1:13" ht="15" customHeight="1" x14ac:dyDescent="0.25">
      <c r="K18" s="2" t="s">
        <v>2076</v>
      </c>
    </row>
    <row r="19" spans="1:13" ht="15" customHeight="1" x14ac:dyDescent="0.25">
      <c r="A19" s="2" t="str">
        <f>IF(EXACT(F19,"N"),CONCATENATE("R",ROW()),IF(EXACT(F19,"Y"),CONCATENATE("R",ROW()),""))</f>
        <v>R19</v>
      </c>
      <c r="B19" s="2" t="s">
        <v>2366</v>
      </c>
      <c r="C19" s="2" t="s">
        <v>2071</v>
      </c>
      <c r="D19" s="2" t="s">
        <v>226</v>
      </c>
      <c r="E19" s="2" t="s">
        <v>227</v>
      </c>
      <c r="F19" s="2" t="s">
        <v>776</v>
      </c>
      <c r="G19" s="2">
        <v>2504813998</v>
      </c>
      <c r="H19" s="2" t="s">
        <v>228</v>
      </c>
      <c r="I19" s="2" t="s">
        <v>229</v>
      </c>
      <c r="J19" s="2" t="s">
        <v>230</v>
      </c>
      <c r="K19" s="2" t="s">
        <v>2076</v>
      </c>
      <c r="M19" s="2">
        <v>1</v>
      </c>
    </row>
    <row r="20" spans="1:13" ht="15" customHeight="1" x14ac:dyDescent="0.25">
      <c r="K20" s="2" t="s">
        <v>2076</v>
      </c>
    </row>
    <row r="21" spans="1:13" ht="15" customHeight="1" x14ac:dyDescent="0.25">
      <c r="A21" s="2" t="str">
        <f>IF(EXACT(F21,"N"),CONCATENATE("R",ROW()),IF(EXACT(F21,"Y"),CONCATENATE("R",ROW()),""))</f>
        <v>R21</v>
      </c>
      <c r="B21" s="2" t="s">
        <v>2367</v>
      </c>
      <c r="C21" s="2" t="s">
        <v>50</v>
      </c>
      <c r="D21" s="2" t="s">
        <v>231</v>
      </c>
      <c r="E21" s="2" t="s">
        <v>232</v>
      </c>
      <c r="F21" s="2" t="s">
        <v>746</v>
      </c>
      <c r="G21" s="2">
        <v>2504813999</v>
      </c>
      <c r="H21" s="2" t="s">
        <v>233</v>
      </c>
      <c r="I21" s="2" t="s">
        <v>234</v>
      </c>
      <c r="J21" s="2" t="s">
        <v>235</v>
      </c>
      <c r="K21" s="2" t="s">
        <v>2076</v>
      </c>
      <c r="M21" s="2">
        <v>1</v>
      </c>
    </row>
    <row r="22" spans="1:13" ht="15" customHeight="1" x14ac:dyDescent="0.25">
      <c r="K22" s="2" t="s">
        <v>2076</v>
      </c>
    </row>
    <row r="23" spans="1:13" ht="15" customHeight="1" x14ac:dyDescent="0.25">
      <c r="A23" s="2" t="str">
        <f>IF(EXACT(F23,"N"),CONCATENATE("R",ROW()),IF(EXACT(F23,"Y"),CONCATENATE("R",ROW()),""))</f>
        <v>R23</v>
      </c>
      <c r="B23" s="2" t="s">
        <v>2368</v>
      </c>
      <c r="C23" s="2" t="s">
        <v>2072</v>
      </c>
      <c r="D23" s="2" t="s">
        <v>236</v>
      </c>
      <c r="E23" s="2" t="s">
        <v>237</v>
      </c>
      <c r="F23" s="2" t="s">
        <v>776</v>
      </c>
      <c r="G23" s="2">
        <v>2504814052</v>
      </c>
      <c r="H23" s="2" t="s">
        <v>238</v>
      </c>
      <c r="I23" s="2" t="s">
        <v>241</v>
      </c>
      <c r="J23" s="2" t="s">
        <v>240</v>
      </c>
      <c r="K23" s="2" t="s">
        <v>2076</v>
      </c>
      <c r="M23" s="2">
        <v>1</v>
      </c>
    </row>
    <row r="24" spans="1:13" ht="15" customHeight="1" x14ac:dyDescent="0.25">
      <c r="K24" s="2" t="s">
        <v>2076</v>
      </c>
    </row>
    <row r="25" spans="1:13" ht="15" customHeight="1" x14ac:dyDescent="0.25">
      <c r="A25" s="2" t="str">
        <f>IF(EXACT(F25,"N"),CONCATENATE("R",ROW()),IF(EXACT(F25,"Y"),CONCATENATE("R",ROW()),""))</f>
        <v>R25</v>
      </c>
      <c r="B25" s="2" t="s">
        <v>2369</v>
      </c>
      <c r="C25" s="2" t="s">
        <v>48</v>
      </c>
      <c r="D25" s="2" t="s">
        <v>242</v>
      </c>
      <c r="E25" s="2" t="s">
        <v>243</v>
      </c>
      <c r="F25" s="2" t="s">
        <v>776</v>
      </c>
      <c r="G25" s="2">
        <v>2504813379</v>
      </c>
      <c r="H25" s="2" t="s">
        <v>244</v>
      </c>
      <c r="I25" s="2" t="s">
        <v>245</v>
      </c>
      <c r="J25" s="2" t="s">
        <v>246</v>
      </c>
      <c r="K25" s="2" t="s">
        <v>2076</v>
      </c>
      <c r="M25" s="2">
        <v>1</v>
      </c>
    </row>
    <row r="26" spans="1:13" ht="15" customHeight="1" x14ac:dyDescent="0.25">
      <c r="K26" s="2" t="s">
        <v>2076</v>
      </c>
    </row>
    <row r="27" spans="1:13" ht="15" customHeight="1" x14ac:dyDescent="0.25">
      <c r="A27" s="2" t="str">
        <f>IF(EXACT(F27,"N"),CONCATENATE("R",ROW()),IF(EXACT(F27,"Y"),CONCATENATE("R",ROW()),""))</f>
        <v>R27</v>
      </c>
      <c r="B27" s="2" t="s">
        <v>2370</v>
      </c>
      <c r="C27" s="2" t="s">
        <v>46</v>
      </c>
      <c r="D27" s="2" t="s">
        <v>247</v>
      </c>
      <c r="E27" s="2" t="s">
        <v>249</v>
      </c>
      <c r="F27" s="2" t="s">
        <v>746</v>
      </c>
      <c r="G27" s="2">
        <v>2504814317</v>
      </c>
      <c r="H27" s="2" t="s">
        <v>248</v>
      </c>
      <c r="I27" s="2" t="s">
        <v>250</v>
      </c>
      <c r="J27" s="2" t="s">
        <v>251</v>
      </c>
      <c r="K27" s="2" t="s">
        <v>2076</v>
      </c>
      <c r="M27" s="2">
        <v>1</v>
      </c>
    </row>
    <row r="28" spans="1:13" ht="15" customHeight="1" x14ac:dyDescent="0.25">
      <c r="K28" s="2" t="s">
        <v>2076</v>
      </c>
    </row>
    <row r="29" spans="1:13" ht="15" customHeight="1" x14ac:dyDescent="0.25">
      <c r="A29" s="2" t="str">
        <f>IF(EXACT(F29,"N"),CONCATENATE("R",ROW()),IF(EXACT(F29,"Y"),CONCATENATE("R",ROW()),""))</f>
        <v>R29</v>
      </c>
      <c r="B29" s="2" t="s">
        <v>2371</v>
      </c>
      <c r="C29" s="2" t="s">
        <v>47</v>
      </c>
      <c r="D29" s="2" t="s">
        <v>254</v>
      </c>
      <c r="E29" s="2" t="s">
        <v>253</v>
      </c>
      <c r="F29" s="2" t="s">
        <v>746</v>
      </c>
      <c r="G29" s="2">
        <v>2504814069</v>
      </c>
      <c r="H29" s="2" t="s">
        <v>252</v>
      </c>
      <c r="I29" s="2" t="s">
        <v>255</v>
      </c>
      <c r="J29" s="2" t="s">
        <v>256</v>
      </c>
      <c r="K29" s="2" t="s">
        <v>2076</v>
      </c>
      <c r="M29" s="2">
        <v>1</v>
      </c>
    </row>
    <row r="30" spans="1:13" ht="15" customHeight="1" x14ac:dyDescent="0.25">
      <c r="A30" s="2" t="str">
        <f>IF(EXACT(F30,"N"),CONCATENATE("R",ROW()),IF(EXACT(F30,"Y"),CONCATENATE("R",ROW()),""))</f>
        <v/>
      </c>
      <c r="E30" s="2" t="s">
        <v>253</v>
      </c>
      <c r="G30" s="2">
        <v>2504814070</v>
      </c>
      <c r="H30" s="2" t="s">
        <v>257</v>
      </c>
      <c r="I30" s="2" t="s">
        <v>258</v>
      </c>
      <c r="J30" s="2" t="s">
        <v>259</v>
      </c>
      <c r="K30" s="2" t="s">
        <v>2076</v>
      </c>
    </row>
    <row r="31" spans="1:13" ht="15" customHeight="1" x14ac:dyDescent="0.25">
      <c r="K31" s="2" t="s">
        <v>2076</v>
      </c>
    </row>
    <row r="32" spans="1:13" ht="15" customHeight="1" x14ac:dyDescent="0.25">
      <c r="A32" s="2" t="str">
        <f>IF(EXACT(F32,"N"),CONCATENATE("R",ROW()),IF(EXACT(F32,"Y"),CONCATENATE("R",ROW()),""))</f>
        <v>R32</v>
      </c>
      <c r="B32" s="2" t="s">
        <v>2372</v>
      </c>
      <c r="C32" s="2" t="s">
        <v>168</v>
      </c>
      <c r="D32" s="2" t="s">
        <v>350</v>
      </c>
      <c r="E32" s="2" t="s">
        <v>351</v>
      </c>
      <c r="F32" s="2" t="s">
        <v>746</v>
      </c>
      <c r="G32" s="2">
        <v>2504814646</v>
      </c>
      <c r="H32" s="2" t="s">
        <v>352</v>
      </c>
      <c r="I32" s="2" t="s">
        <v>353</v>
      </c>
      <c r="J32" s="2" t="s">
        <v>354</v>
      </c>
      <c r="K32" s="2" t="s">
        <v>2076</v>
      </c>
      <c r="M32" s="2">
        <v>1</v>
      </c>
    </row>
    <row r="33" spans="1:13" ht="15" customHeight="1" x14ac:dyDescent="0.25">
      <c r="K33" s="2" t="s">
        <v>2076</v>
      </c>
    </row>
    <row r="34" spans="1:13" ht="15" customHeight="1" x14ac:dyDescent="0.25">
      <c r="A34" s="2" t="str">
        <f>IF(EXACT(F34,"N"),CONCATENATE("R",ROW()),IF(EXACT(F34,"Y"),CONCATENATE("R",ROW()),""))</f>
        <v>R34</v>
      </c>
      <c r="B34" s="2" t="s">
        <v>2373</v>
      </c>
      <c r="C34" s="2" t="s">
        <v>167</v>
      </c>
      <c r="D34" s="2" t="s">
        <v>356</v>
      </c>
      <c r="E34" s="2" t="s">
        <v>355</v>
      </c>
      <c r="F34" s="2" t="s">
        <v>776</v>
      </c>
      <c r="G34" s="2">
        <v>2504813894</v>
      </c>
      <c r="H34" s="2" t="s">
        <v>357</v>
      </c>
      <c r="I34" s="2" t="s">
        <v>358</v>
      </c>
      <c r="J34" s="2" t="s">
        <v>359</v>
      </c>
      <c r="K34" s="2" t="s">
        <v>2076</v>
      </c>
      <c r="M34" s="2">
        <v>1</v>
      </c>
    </row>
    <row r="35" spans="1:13" ht="15" customHeight="1" x14ac:dyDescent="0.25">
      <c r="K35" s="2" t="s">
        <v>2076</v>
      </c>
    </row>
    <row r="36" spans="1:13" s="27" customFormat="1" ht="15" customHeight="1" x14ac:dyDescent="0.25">
      <c r="C36" s="27" t="s">
        <v>2065</v>
      </c>
      <c r="K36" s="27" t="s">
        <v>2076</v>
      </c>
    </row>
    <row r="37" spans="1:13" ht="15" customHeight="1" x14ac:dyDescent="0.25">
      <c r="A37" s="2" t="str">
        <f>IF(EXACT(F37,"N"),CONCATENATE("R",ROW()),IF(EXACT(F37,"Y"),CONCATENATE("R",ROW()),""))</f>
        <v>R37</v>
      </c>
      <c r="B37" s="2" t="s">
        <v>2374</v>
      </c>
      <c r="C37" s="2" t="s">
        <v>149</v>
      </c>
      <c r="D37" s="2" t="s">
        <v>339</v>
      </c>
      <c r="E37" s="2" t="s">
        <v>261</v>
      </c>
      <c r="F37" s="2" t="s">
        <v>746</v>
      </c>
      <c r="G37" s="2">
        <v>2504813190</v>
      </c>
      <c r="H37" s="2" t="s">
        <v>264</v>
      </c>
      <c r="I37" s="2" t="s">
        <v>267</v>
      </c>
      <c r="J37" s="2" t="s">
        <v>270</v>
      </c>
      <c r="K37" s="2" t="s">
        <v>2076</v>
      </c>
      <c r="M37" s="2">
        <v>1</v>
      </c>
    </row>
    <row r="38" spans="1:13" ht="15" customHeight="1" x14ac:dyDescent="0.25">
      <c r="A38" s="2" t="str">
        <f>IF(EXACT(F38,"N"),CONCATENATE("R",ROW()),IF(EXACT(F38,"Y"),CONCATENATE("R",ROW()),""))</f>
        <v>R38</v>
      </c>
      <c r="B38" s="2" t="s">
        <v>2375</v>
      </c>
      <c r="C38" s="2" t="s">
        <v>165</v>
      </c>
      <c r="D38" s="2" t="s">
        <v>339</v>
      </c>
      <c r="E38" s="2" t="s">
        <v>262</v>
      </c>
      <c r="F38" s="2" t="s">
        <v>776</v>
      </c>
      <c r="G38" s="2">
        <v>2504813191</v>
      </c>
      <c r="H38" s="2" t="s">
        <v>265</v>
      </c>
      <c r="I38" s="2" t="s">
        <v>268</v>
      </c>
      <c r="J38" s="2" t="s">
        <v>271</v>
      </c>
      <c r="K38" s="2" t="s">
        <v>2076</v>
      </c>
      <c r="M38" s="2">
        <v>1</v>
      </c>
    </row>
    <row r="39" spans="1:13" ht="15" customHeight="1" x14ac:dyDescent="0.25">
      <c r="A39" s="2" t="str">
        <f>IF(EXACT(F39,"N"),CONCATENATE("R",ROW()),IF(EXACT(F39,"Y"),CONCATENATE("R",ROW()),""))</f>
        <v/>
      </c>
      <c r="E39" s="2" t="s">
        <v>263</v>
      </c>
      <c r="G39" s="2">
        <v>2504813987</v>
      </c>
      <c r="H39" s="2" t="s">
        <v>266</v>
      </c>
      <c r="I39" s="2" t="s">
        <v>269</v>
      </c>
      <c r="J39" s="2" t="s">
        <v>272</v>
      </c>
      <c r="K39" s="2" t="s">
        <v>2076</v>
      </c>
    </row>
    <row r="40" spans="1:13" ht="15" customHeight="1" x14ac:dyDescent="0.25">
      <c r="K40" s="2" t="s">
        <v>2076</v>
      </c>
    </row>
    <row r="41" spans="1:13" ht="15" customHeight="1" x14ac:dyDescent="0.25">
      <c r="A41" s="2" t="str">
        <f>IF(EXACT(F41,"N"),CONCATENATE("R",ROW()),IF(EXACT(F41,"Y"),CONCATENATE("R",ROW()),""))</f>
        <v>R41</v>
      </c>
      <c r="B41" s="2" t="s">
        <v>2376</v>
      </c>
      <c r="C41" s="2" t="s">
        <v>174</v>
      </c>
      <c r="D41" s="2" t="s">
        <v>340</v>
      </c>
      <c r="E41" s="2" t="s">
        <v>273</v>
      </c>
      <c r="F41" s="2" t="s">
        <v>776</v>
      </c>
      <c r="G41" s="2">
        <v>2504813469</v>
      </c>
      <c r="H41" s="2" t="s">
        <v>274</v>
      </c>
      <c r="I41" s="2" t="s">
        <v>276</v>
      </c>
      <c r="J41" s="2" t="s">
        <v>278</v>
      </c>
      <c r="K41" s="2" t="s">
        <v>2076</v>
      </c>
      <c r="M41" s="2">
        <v>1</v>
      </c>
    </row>
    <row r="42" spans="1:13" ht="15" customHeight="1" x14ac:dyDescent="0.25">
      <c r="A42" s="2" t="str">
        <f>IF(EXACT(F42,"N"),CONCATENATE("R",ROW()),IF(EXACT(F42,"Y"),CONCATENATE("R",ROW()),""))</f>
        <v/>
      </c>
      <c r="E42" s="2" t="s">
        <v>273</v>
      </c>
      <c r="G42" s="2">
        <v>2504813985</v>
      </c>
      <c r="H42" s="2" t="s">
        <v>275</v>
      </c>
      <c r="I42" s="2" t="s">
        <v>277</v>
      </c>
      <c r="J42" s="2" t="s">
        <v>279</v>
      </c>
      <c r="K42" s="2" t="s">
        <v>2076</v>
      </c>
    </row>
    <row r="43" spans="1:13" ht="15" customHeight="1" x14ac:dyDescent="0.25">
      <c r="K43" s="2" t="s">
        <v>2076</v>
      </c>
    </row>
    <row r="44" spans="1:13" ht="15" customHeight="1" x14ac:dyDescent="0.25">
      <c r="A44" s="2" t="str">
        <f>IF(EXACT(F44,"N"),CONCATENATE("R",ROW()),IF(EXACT(F44,"Y"),CONCATENATE("R",ROW()),""))</f>
        <v>R44</v>
      </c>
      <c r="B44" s="2" t="s">
        <v>2377</v>
      </c>
      <c r="C44" s="2" t="s">
        <v>155</v>
      </c>
      <c r="D44" s="2" t="s">
        <v>341</v>
      </c>
      <c r="E44" s="2" t="s">
        <v>280</v>
      </c>
      <c r="F44" s="2" t="s">
        <v>776</v>
      </c>
      <c r="G44" s="2">
        <v>2504813979</v>
      </c>
      <c r="H44" s="2" t="s">
        <v>281</v>
      </c>
      <c r="I44" s="2" t="s">
        <v>282</v>
      </c>
      <c r="J44" s="2" t="s">
        <v>283</v>
      </c>
      <c r="K44" s="2" t="s">
        <v>2076</v>
      </c>
      <c r="M44" s="2">
        <v>1</v>
      </c>
    </row>
    <row r="45" spans="1:13" ht="15" customHeight="1" x14ac:dyDescent="0.25">
      <c r="K45" s="2" t="s">
        <v>2076</v>
      </c>
    </row>
    <row r="46" spans="1:13" ht="15" customHeight="1" x14ac:dyDescent="0.25">
      <c r="A46" s="2" t="str">
        <f>IF(EXACT(F46,"N"),CONCATENATE("R",ROW()),IF(EXACT(F46,"Y"),CONCATENATE("R",ROW()),""))</f>
        <v>R46</v>
      </c>
      <c r="B46" s="2" t="s">
        <v>2378</v>
      </c>
      <c r="C46" s="2" t="s">
        <v>171</v>
      </c>
      <c r="D46" s="2" t="s">
        <v>342</v>
      </c>
      <c r="E46" s="2" t="s">
        <v>284</v>
      </c>
      <c r="F46" s="2" t="s">
        <v>776</v>
      </c>
      <c r="G46" s="2">
        <v>2504813010</v>
      </c>
      <c r="H46" s="2" t="s">
        <v>286</v>
      </c>
      <c r="I46" s="2" t="s">
        <v>288</v>
      </c>
      <c r="J46" s="2" t="s">
        <v>290</v>
      </c>
      <c r="K46" s="2" t="s">
        <v>2076</v>
      </c>
      <c r="M46" s="2">
        <v>1</v>
      </c>
    </row>
    <row r="47" spans="1:13" ht="15" customHeight="1" x14ac:dyDescent="0.25">
      <c r="A47" s="2" t="str">
        <f>IF(EXACT(F47,"N"),CONCATENATE("R",ROW()),IF(EXACT(F47,"Y"),CONCATENATE("R",ROW()),""))</f>
        <v/>
      </c>
      <c r="E47" s="2" t="s">
        <v>285</v>
      </c>
      <c r="G47" s="2">
        <v>2504813971</v>
      </c>
      <c r="H47" s="2" t="s">
        <v>287</v>
      </c>
      <c r="I47" s="2" t="s">
        <v>289</v>
      </c>
      <c r="J47" s="2" t="s">
        <v>291</v>
      </c>
      <c r="K47" s="2" t="s">
        <v>2076</v>
      </c>
    </row>
    <row r="48" spans="1:13" ht="15" customHeight="1" x14ac:dyDescent="0.25">
      <c r="K48" s="2" t="s">
        <v>2076</v>
      </c>
    </row>
    <row r="49" spans="1:13" ht="15" customHeight="1" x14ac:dyDescent="0.25">
      <c r="A49" s="2" t="str">
        <f>IF(EXACT(F49,"N"),CONCATENATE("R",ROW()),IF(EXACT(F49,"Y"),CONCATENATE("R",ROW()),""))</f>
        <v>R49</v>
      </c>
      <c r="B49" s="2" t="s">
        <v>2379</v>
      </c>
      <c r="C49" s="2" t="s">
        <v>2073</v>
      </c>
      <c r="D49" s="2" t="s">
        <v>343</v>
      </c>
      <c r="E49" s="2" t="s">
        <v>292</v>
      </c>
      <c r="F49" s="2" t="s">
        <v>776</v>
      </c>
      <c r="G49" s="2">
        <v>2504814315</v>
      </c>
      <c r="H49" s="2" t="s">
        <v>293</v>
      </c>
      <c r="I49" s="2" t="s">
        <v>294</v>
      </c>
      <c r="J49" s="2" t="s">
        <v>295</v>
      </c>
      <c r="K49" s="2" t="s">
        <v>2076</v>
      </c>
      <c r="M49" s="2">
        <v>1</v>
      </c>
    </row>
    <row r="50" spans="1:13" ht="15" customHeight="1" x14ac:dyDescent="0.25">
      <c r="K50" s="2" t="s">
        <v>2076</v>
      </c>
    </row>
    <row r="51" spans="1:13" ht="15" customHeight="1" x14ac:dyDescent="0.25">
      <c r="A51" s="2" t="str">
        <f>IF(EXACT(F51,"N"),CONCATENATE("R",ROW()),IF(EXACT(F51,"Y"),CONCATENATE("R",ROW()),""))</f>
        <v>R51</v>
      </c>
      <c r="B51" s="2" t="s">
        <v>2380</v>
      </c>
      <c r="C51" s="2" t="s">
        <v>173</v>
      </c>
      <c r="D51" s="2" t="s">
        <v>344</v>
      </c>
      <c r="E51" s="2" t="s">
        <v>296</v>
      </c>
      <c r="F51" s="2" t="s">
        <v>746</v>
      </c>
      <c r="G51" s="2">
        <v>2504814666</v>
      </c>
      <c r="H51" s="2" t="s">
        <v>297</v>
      </c>
      <c r="I51" s="2" t="s">
        <v>298</v>
      </c>
      <c r="J51" s="2" t="s">
        <v>299</v>
      </c>
      <c r="K51" s="2" t="s">
        <v>2076</v>
      </c>
      <c r="M51" s="2">
        <v>1</v>
      </c>
    </row>
    <row r="52" spans="1:13" ht="15" customHeight="1" x14ac:dyDescent="0.25">
      <c r="K52" s="2" t="s">
        <v>2076</v>
      </c>
    </row>
    <row r="53" spans="1:13" ht="15" customHeight="1" x14ac:dyDescent="0.25">
      <c r="A53" s="2" t="str">
        <f>IF(EXACT(F53,"N"),CONCATENATE("R",ROW()),IF(EXACT(F53,"Y"),CONCATENATE("R",ROW()),""))</f>
        <v>R53</v>
      </c>
      <c r="B53" s="2" t="s">
        <v>2596</v>
      </c>
      <c r="C53" s="2" t="s">
        <v>2082</v>
      </c>
      <c r="D53" s="2" t="s">
        <v>345</v>
      </c>
      <c r="E53" s="2" t="s">
        <v>300</v>
      </c>
      <c r="F53" s="2" t="s">
        <v>776</v>
      </c>
      <c r="G53" s="2">
        <v>2504813778</v>
      </c>
      <c r="H53" s="2" t="s">
        <v>303</v>
      </c>
      <c r="I53" s="2" t="s">
        <v>307</v>
      </c>
      <c r="J53" s="2" t="s">
        <v>311</v>
      </c>
      <c r="K53" s="2" t="s">
        <v>2076</v>
      </c>
      <c r="L53" s="2" t="s">
        <v>2063</v>
      </c>
      <c r="M53" s="2">
        <v>1</v>
      </c>
    </row>
    <row r="54" spans="1:13" ht="15" customHeight="1" x14ac:dyDescent="0.25">
      <c r="A54" s="2" t="str">
        <f>IF(EXACT(F54,"N"),CONCATENATE("R",ROW()),IF(EXACT(F54,"Y"),CONCATENATE("R",ROW()),""))</f>
        <v/>
      </c>
      <c r="E54" s="2" t="s">
        <v>301</v>
      </c>
      <c r="G54" s="2">
        <v>2504813779</v>
      </c>
      <c r="H54" s="2" t="s">
        <v>304</v>
      </c>
      <c r="I54" s="2" t="s">
        <v>308</v>
      </c>
      <c r="J54" s="2" t="s">
        <v>312</v>
      </c>
      <c r="K54" s="2" t="s">
        <v>2076</v>
      </c>
    </row>
    <row r="55" spans="1:13" ht="15" customHeight="1" x14ac:dyDescent="0.25">
      <c r="A55" s="2" t="str">
        <f>IF(EXACT(F55,"N"),CONCATENATE("R",ROW()),IF(EXACT(F55,"Y"),CONCATENATE("R",ROW()),""))</f>
        <v/>
      </c>
      <c r="E55" s="2" t="s">
        <v>302</v>
      </c>
      <c r="G55" s="2">
        <v>2504814184</v>
      </c>
      <c r="H55" s="2" t="s">
        <v>305</v>
      </c>
      <c r="I55" s="2" t="s">
        <v>309</v>
      </c>
      <c r="J55" s="2" t="s">
        <v>313</v>
      </c>
      <c r="K55" s="2" t="s">
        <v>2076</v>
      </c>
    </row>
    <row r="56" spans="1:13" ht="15" customHeight="1" x14ac:dyDescent="0.25">
      <c r="A56" s="2" t="str">
        <f>IF(EXACT(F56,"N"),CONCATENATE("R",ROW()),IF(EXACT(F56,"Y"),CONCATENATE("R",ROW()),""))</f>
        <v/>
      </c>
      <c r="E56" s="2" t="s">
        <v>301</v>
      </c>
      <c r="G56" s="2">
        <v>2504814185</v>
      </c>
      <c r="H56" s="2" t="s">
        <v>306</v>
      </c>
      <c r="I56" s="2" t="s">
        <v>310</v>
      </c>
      <c r="J56" s="2" t="s">
        <v>314</v>
      </c>
      <c r="K56" s="2" t="s">
        <v>2076</v>
      </c>
    </row>
    <row r="57" spans="1:13" ht="15" customHeight="1" x14ac:dyDescent="0.25">
      <c r="K57" s="2" t="s">
        <v>2076</v>
      </c>
    </row>
    <row r="58" spans="1:13" ht="15" customHeight="1" x14ac:dyDescent="0.25">
      <c r="A58" s="2" t="str">
        <f>IF(EXACT(F58,"N"),CONCATENATE("R",ROW()),IF(EXACT(F58,"Y"),CONCATENATE("R",ROW()),""))</f>
        <v>R58</v>
      </c>
      <c r="B58" s="2" t="s">
        <v>2381</v>
      </c>
      <c r="C58" s="2" t="s">
        <v>172</v>
      </c>
      <c r="D58" s="2" t="s">
        <v>346</v>
      </c>
      <c r="E58" s="2" t="s">
        <v>315</v>
      </c>
      <c r="F58" s="2" t="s">
        <v>776</v>
      </c>
      <c r="G58" s="2">
        <v>2504814046</v>
      </c>
      <c r="H58" s="2" t="s">
        <v>317</v>
      </c>
      <c r="I58" s="2" t="s">
        <v>319</v>
      </c>
      <c r="J58" s="2" t="s">
        <v>321</v>
      </c>
      <c r="K58" s="2" t="s">
        <v>2076</v>
      </c>
      <c r="M58" s="2">
        <v>1</v>
      </c>
    </row>
    <row r="59" spans="1:13" ht="15" customHeight="1" x14ac:dyDescent="0.25">
      <c r="A59" s="2" t="str">
        <f>IF(EXACT(F59,"N"),CONCATENATE("R",ROW()),IF(EXACT(F59,"Y"),CONCATENATE("R",ROW()),""))</f>
        <v/>
      </c>
      <c r="E59" s="2" t="s">
        <v>316</v>
      </c>
      <c r="G59" s="2">
        <v>2504814047</v>
      </c>
      <c r="H59" s="2" t="s">
        <v>318</v>
      </c>
      <c r="I59" s="2" t="s">
        <v>320</v>
      </c>
      <c r="J59" s="2" t="s">
        <v>322</v>
      </c>
      <c r="K59" s="2" t="s">
        <v>2076</v>
      </c>
    </row>
    <row r="60" spans="1:13" ht="15" customHeight="1" x14ac:dyDescent="0.25">
      <c r="K60" s="2" t="s">
        <v>2076</v>
      </c>
    </row>
    <row r="61" spans="1:13" ht="15" customHeight="1" x14ac:dyDescent="0.25">
      <c r="A61" s="2" t="str">
        <f>IF(EXACT(F61,"N"),CONCATENATE("R",ROW()),IF(EXACT(F61,"Y"),CONCATENATE("R",ROW()),""))</f>
        <v>R61</v>
      </c>
      <c r="B61" s="2" t="s">
        <v>2597</v>
      </c>
      <c r="C61" s="2" t="s">
        <v>2066</v>
      </c>
      <c r="D61" s="2" t="s">
        <v>347</v>
      </c>
      <c r="E61" s="2" t="s">
        <v>323</v>
      </c>
      <c r="F61" s="2" t="s">
        <v>776</v>
      </c>
      <c r="G61" s="2">
        <v>2504813077</v>
      </c>
      <c r="H61" s="2" t="s">
        <v>325</v>
      </c>
      <c r="I61" s="2" t="s">
        <v>327</v>
      </c>
      <c r="J61" s="2" t="s">
        <v>329</v>
      </c>
      <c r="K61" s="2" t="s">
        <v>2076</v>
      </c>
      <c r="M61" s="2">
        <v>1</v>
      </c>
    </row>
    <row r="62" spans="1:13" ht="15" customHeight="1" x14ac:dyDescent="0.25">
      <c r="A62" s="2" t="str">
        <f>IF(EXACT(F62,"N"),CONCATENATE("R",ROW()),IF(EXACT(F62,"Y"),CONCATENATE("R",ROW()),""))</f>
        <v/>
      </c>
      <c r="E62" s="2" t="s">
        <v>324</v>
      </c>
      <c r="G62" s="2">
        <v>2504813078</v>
      </c>
      <c r="H62" s="2" t="s">
        <v>326</v>
      </c>
      <c r="I62" s="2" t="s">
        <v>328</v>
      </c>
      <c r="J62" s="2" t="s">
        <v>330</v>
      </c>
      <c r="K62" s="2" t="s">
        <v>2076</v>
      </c>
    </row>
    <row r="63" spans="1:13" ht="15" customHeight="1" x14ac:dyDescent="0.25">
      <c r="K63" s="2" t="s">
        <v>2076</v>
      </c>
    </row>
    <row r="64" spans="1:13" ht="15" customHeight="1" x14ac:dyDescent="0.25">
      <c r="A64" s="2" t="str">
        <f>IF(EXACT(F64,"N"),CONCATENATE("R",ROW()),IF(EXACT(F64,"Y"),CONCATENATE("R",ROW()),""))</f>
        <v>R64</v>
      </c>
      <c r="B64" s="2" t="s">
        <v>2382</v>
      </c>
      <c r="C64" s="2" t="s">
        <v>260</v>
      </c>
      <c r="D64" s="2" t="s">
        <v>348</v>
      </c>
      <c r="E64" s="2" t="s">
        <v>331</v>
      </c>
      <c r="F64" s="2" t="s">
        <v>776</v>
      </c>
      <c r="G64" s="2">
        <v>2504814333</v>
      </c>
      <c r="H64" s="2" t="s">
        <v>332</v>
      </c>
      <c r="I64" s="2" t="s">
        <v>333</v>
      </c>
      <c r="J64" s="2" t="s">
        <v>334</v>
      </c>
      <c r="K64" s="2" t="s">
        <v>2076</v>
      </c>
      <c r="M64" s="2">
        <v>1</v>
      </c>
    </row>
    <row r="65" spans="1:13" ht="15" customHeight="1" x14ac:dyDescent="0.25">
      <c r="K65" s="2" t="s">
        <v>2076</v>
      </c>
    </row>
    <row r="66" spans="1:13" ht="15" customHeight="1" x14ac:dyDescent="0.25">
      <c r="A66" s="2" t="str">
        <f>IF(EXACT(F66,"N"),CONCATENATE("R",ROW()),IF(EXACT(F66,"Y"),CONCATENATE("R",ROW()),""))</f>
        <v>R66</v>
      </c>
      <c r="B66" s="2" t="s">
        <v>2383</v>
      </c>
      <c r="C66" s="2" t="s">
        <v>170</v>
      </c>
      <c r="D66" s="2" t="s">
        <v>349</v>
      </c>
      <c r="E66" s="2" t="s">
        <v>335</v>
      </c>
      <c r="F66" s="2" t="s">
        <v>776</v>
      </c>
      <c r="G66" s="2">
        <v>2504813101</v>
      </c>
      <c r="H66" s="2" t="s">
        <v>336</v>
      </c>
      <c r="I66" s="2" t="s">
        <v>337</v>
      </c>
      <c r="J66" s="2" t="s">
        <v>338</v>
      </c>
      <c r="K66" s="2" t="s">
        <v>2076</v>
      </c>
      <c r="M66" s="2">
        <v>1</v>
      </c>
    </row>
    <row r="67" spans="1:13" ht="15" customHeight="1" x14ac:dyDescent="0.25">
      <c r="K67" s="2" t="s">
        <v>2076</v>
      </c>
    </row>
    <row r="68" spans="1:13" ht="15" customHeight="1" x14ac:dyDescent="0.25">
      <c r="A68" s="2" t="str">
        <f>IF(EXACT(F68,"N"),CONCATENATE("R",ROW()),IF(EXACT(F68,"Y"),CONCATENATE("R",ROW()),""))</f>
        <v>R68</v>
      </c>
      <c r="B68" s="2" t="s">
        <v>2384</v>
      </c>
      <c r="C68" s="2" t="s">
        <v>2081</v>
      </c>
      <c r="D68" s="2" t="s">
        <v>360</v>
      </c>
      <c r="E68" s="2" t="s">
        <v>361</v>
      </c>
      <c r="F68" s="2" t="s">
        <v>776</v>
      </c>
      <c r="G68" s="2">
        <v>2504814792</v>
      </c>
      <c r="H68" s="2" t="s">
        <v>362</v>
      </c>
      <c r="I68" s="2" t="s">
        <v>363</v>
      </c>
      <c r="J68" s="2" t="s">
        <v>364</v>
      </c>
      <c r="K68" s="2" t="s">
        <v>2076</v>
      </c>
      <c r="M68" s="2">
        <v>1</v>
      </c>
    </row>
    <row r="69" spans="1:13" ht="15" customHeight="1" x14ac:dyDescent="0.25">
      <c r="K69" s="2" t="s">
        <v>2076</v>
      </c>
    </row>
    <row r="70" spans="1:13" ht="15" customHeight="1" x14ac:dyDescent="0.25">
      <c r="A70" s="2" t="str">
        <f>IF(EXACT(F70,"N"),CONCATENATE("R",ROW()),IF(EXACT(F70,"Y"),CONCATENATE("R",ROW()),""))</f>
        <v>R70</v>
      </c>
      <c r="B70" s="2" t="s">
        <v>2358</v>
      </c>
      <c r="C70" s="2" t="s">
        <v>2021</v>
      </c>
      <c r="D70" s="2" t="s">
        <v>365</v>
      </c>
      <c r="E70" s="2" t="s">
        <v>366</v>
      </c>
      <c r="F70" s="2" t="s">
        <v>746</v>
      </c>
      <c r="G70" s="2">
        <v>2504814331</v>
      </c>
      <c r="H70" s="2" t="s">
        <v>367</v>
      </c>
      <c r="I70" s="2" t="s">
        <v>368</v>
      </c>
      <c r="J70" s="2" t="s">
        <v>369</v>
      </c>
      <c r="K70" s="2" t="s">
        <v>2076</v>
      </c>
      <c r="M70" s="2">
        <v>1</v>
      </c>
    </row>
    <row r="72" spans="1:13" ht="15" customHeight="1" x14ac:dyDescent="0.25">
      <c r="A72" s="2" t="str">
        <f>IF(EXACT(F72,"N"),CONCATENATE("R",ROW()),IF(EXACT(F72,"Y"),CONCATENATE("R",ROW()),""))</f>
        <v>R72</v>
      </c>
      <c r="B72" s="2" t="s">
        <v>2385</v>
      </c>
      <c r="C72" s="2" t="s">
        <v>55</v>
      </c>
      <c r="D72" s="2" t="s">
        <v>2257</v>
      </c>
      <c r="E72" s="3" t="s">
        <v>1872</v>
      </c>
      <c r="F72" s="2" t="s">
        <v>776</v>
      </c>
      <c r="G72" s="3">
        <v>2504813969</v>
      </c>
      <c r="H72" s="3" t="s">
        <v>1873</v>
      </c>
      <c r="I72" s="25" t="s">
        <v>1874</v>
      </c>
      <c r="J72" s="25" t="s">
        <v>1875</v>
      </c>
      <c r="K72" s="2" t="s">
        <v>2076</v>
      </c>
      <c r="M72" s="2">
        <v>1</v>
      </c>
    </row>
    <row r="73" spans="1:13" ht="15" customHeight="1" x14ac:dyDescent="0.25">
      <c r="E73" s="3"/>
      <c r="G73" s="3"/>
      <c r="H73" s="3"/>
      <c r="I73" s="25"/>
      <c r="J73" s="25"/>
    </row>
    <row r="74" spans="1:13" ht="15" customHeight="1" x14ac:dyDescent="0.25">
      <c r="A74" s="2" t="str">
        <f>IF(EXACT(F74,"N"),CONCATENATE("R",ROW()),IF(EXACT(F74,"Y"),CONCATENATE("R",ROW()),""))</f>
        <v>R74</v>
      </c>
      <c r="B74" s="2" t="s">
        <v>2386</v>
      </c>
      <c r="C74" s="2" t="s">
        <v>56</v>
      </c>
      <c r="D74" s="2" t="s">
        <v>2258</v>
      </c>
      <c r="E74" s="2" t="s">
        <v>376</v>
      </c>
      <c r="F74" s="2" t="s">
        <v>746</v>
      </c>
      <c r="K74" s="2" t="s">
        <v>2076</v>
      </c>
      <c r="M74" s="2">
        <v>1</v>
      </c>
    </row>
    <row r="75" spans="1:13" ht="15" customHeight="1" x14ac:dyDescent="0.25">
      <c r="K75" s="2" t="s">
        <v>2076</v>
      </c>
    </row>
    <row r="76" spans="1:13" s="27" customFormat="1" ht="15" customHeight="1" x14ac:dyDescent="0.25">
      <c r="C76" s="27" t="s">
        <v>2074</v>
      </c>
      <c r="K76" s="27" t="s">
        <v>2076</v>
      </c>
    </row>
    <row r="77" spans="1:13" ht="15" customHeight="1" x14ac:dyDescent="0.25">
      <c r="A77" s="2" t="str">
        <f>IF(EXACT(F77,"N"),CONCATENATE("R",ROW()),IF(EXACT(F77,"Y"),CONCATENATE("R",ROW()),""))</f>
        <v>R77</v>
      </c>
      <c r="B77" s="2" t="s">
        <v>2387</v>
      </c>
      <c r="C77" s="2" t="s">
        <v>117</v>
      </c>
      <c r="D77" s="2" t="s">
        <v>370</v>
      </c>
      <c r="E77" s="2" t="s">
        <v>371</v>
      </c>
      <c r="F77" s="2" t="s">
        <v>776</v>
      </c>
      <c r="G77" s="2">
        <v>2504814230</v>
      </c>
      <c r="H77" s="2" t="s">
        <v>372</v>
      </c>
      <c r="I77" s="2" t="s">
        <v>373</v>
      </c>
      <c r="J77" s="2" t="s">
        <v>374</v>
      </c>
      <c r="K77" s="2" t="s">
        <v>2076</v>
      </c>
      <c r="M77" s="2">
        <v>1</v>
      </c>
    </row>
    <row r="78" spans="1:13" ht="15" customHeight="1" x14ac:dyDescent="0.25">
      <c r="K78" s="2" t="s">
        <v>2076</v>
      </c>
    </row>
    <row r="79" spans="1:13" ht="15" customHeight="1" x14ac:dyDescent="0.25">
      <c r="A79" s="2" t="str">
        <f>IF(EXACT(F79,"N"),CONCATENATE("R",ROW()),IF(EXACT(F79,"Y"),CONCATENATE("R",ROW()),""))</f>
        <v>R79</v>
      </c>
      <c r="B79" s="2" t="s">
        <v>2388</v>
      </c>
      <c r="C79" s="2" t="s">
        <v>118</v>
      </c>
      <c r="D79" s="2" t="s">
        <v>375</v>
      </c>
      <c r="E79" s="2" t="s">
        <v>376</v>
      </c>
      <c r="F79" s="2" t="s">
        <v>776</v>
      </c>
      <c r="K79" s="2" t="s">
        <v>2076</v>
      </c>
      <c r="M79" s="2">
        <v>1</v>
      </c>
    </row>
    <row r="80" spans="1:13" ht="15" customHeight="1" x14ac:dyDescent="0.25">
      <c r="K80" s="2" t="s">
        <v>2076</v>
      </c>
    </row>
    <row r="81" spans="1:13" ht="15" customHeight="1" x14ac:dyDescent="0.25">
      <c r="A81" s="2" t="str">
        <f>IF(EXACT(F81,"N"),CONCATENATE("R",ROW()),IF(EXACT(F81,"Y"),CONCATENATE("R",ROW()),""))</f>
        <v>R81</v>
      </c>
      <c r="B81" s="2" t="s">
        <v>2389</v>
      </c>
      <c r="C81" s="2" t="s">
        <v>127</v>
      </c>
      <c r="D81" s="2" t="s">
        <v>377</v>
      </c>
      <c r="E81" s="2" t="s">
        <v>378</v>
      </c>
      <c r="F81" s="2" t="s">
        <v>776</v>
      </c>
      <c r="G81" s="2">
        <v>2504814228</v>
      </c>
      <c r="H81" s="2" t="s">
        <v>379</v>
      </c>
      <c r="I81" s="2" t="s">
        <v>380</v>
      </c>
      <c r="J81" s="2" t="s">
        <v>381</v>
      </c>
      <c r="K81" s="2" t="s">
        <v>2076</v>
      </c>
      <c r="M81" s="2">
        <v>1</v>
      </c>
    </row>
    <row r="82" spans="1:13" ht="15" customHeight="1" x14ac:dyDescent="0.25">
      <c r="K82" s="2" t="s">
        <v>2076</v>
      </c>
    </row>
    <row r="83" spans="1:13" ht="15" customHeight="1" x14ac:dyDescent="0.25">
      <c r="A83" s="2" t="str">
        <f>IF(EXACT(F83,"N"),CONCATENATE("R",ROW()),IF(EXACT(F83,"Y"),CONCATENATE("R",ROW()),""))</f>
        <v>R83</v>
      </c>
      <c r="B83" s="2" t="s">
        <v>2390</v>
      </c>
      <c r="C83" s="2" t="s">
        <v>128</v>
      </c>
      <c r="D83" s="2" t="s">
        <v>382</v>
      </c>
      <c r="E83" s="2" t="s">
        <v>376</v>
      </c>
      <c r="F83" s="2" t="s">
        <v>746</v>
      </c>
      <c r="K83" s="2" t="s">
        <v>2076</v>
      </c>
      <c r="M83" s="2">
        <v>1</v>
      </c>
    </row>
    <row r="84" spans="1:13" ht="15" customHeight="1" x14ac:dyDescent="0.25">
      <c r="K84" s="2" t="s">
        <v>2076</v>
      </c>
    </row>
    <row r="85" spans="1:13" ht="15" customHeight="1" x14ac:dyDescent="0.25">
      <c r="A85" s="2" t="str">
        <f>IF(EXACT(F85,"N"),CONCATENATE("R",ROW()),IF(EXACT(F85,"Y"),CONCATENATE("R",ROW()),""))</f>
        <v>R85</v>
      </c>
      <c r="B85" s="2" t="s">
        <v>2391</v>
      </c>
      <c r="C85" s="2" t="s">
        <v>131</v>
      </c>
      <c r="D85" s="2" t="s">
        <v>387</v>
      </c>
      <c r="E85" s="2" t="s">
        <v>383</v>
      </c>
      <c r="F85" s="2" t="s">
        <v>776</v>
      </c>
      <c r="G85" s="2">
        <v>2504814683</v>
      </c>
      <c r="H85" s="2" t="s">
        <v>384</v>
      </c>
      <c r="I85" s="2" t="s">
        <v>385</v>
      </c>
      <c r="J85" s="2" t="s">
        <v>386</v>
      </c>
      <c r="K85" s="2" t="s">
        <v>2076</v>
      </c>
      <c r="M85" s="2">
        <v>1</v>
      </c>
    </row>
    <row r="86" spans="1:13" ht="15" customHeight="1" x14ac:dyDescent="0.25">
      <c r="K86" s="2" t="s">
        <v>2076</v>
      </c>
    </row>
    <row r="87" spans="1:13" ht="15" customHeight="1" x14ac:dyDescent="0.25">
      <c r="A87" s="2" t="str">
        <f>IF(EXACT(F87,"N"),CONCATENATE("R",ROW()),IF(EXACT(F87,"Y"),CONCATENATE("R",ROW()),""))</f>
        <v>R87</v>
      </c>
      <c r="B87" s="2" t="s">
        <v>2392</v>
      </c>
      <c r="C87" s="2" t="s">
        <v>121</v>
      </c>
      <c r="D87" s="2" t="s">
        <v>388</v>
      </c>
      <c r="E87" s="2" t="s">
        <v>376</v>
      </c>
      <c r="F87" s="2" t="s">
        <v>776</v>
      </c>
      <c r="K87" s="2" t="s">
        <v>2076</v>
      </c>
      <c r="M87" s="2">
        <v>1</v>
      </c>
    </row>
    <row r="88" spans="1:13" ht="15" customHeight="1" x14ac:dyDescent="0.25">
      <c r="K88" s="2" t="s">
        <v>2076</v>
      </c>
    </row>
    <row r="89" spans="1:13" ht="15" customHeight="1" x14ac:dyDescent="0.25">
      <c r="A89" s="2" t="str">
        <f>IF(EXACT(F89,"N"),CONCATENATE("R",ROW()),IF(EXACT(F89,"Y"),CONCATENATE("R",ROW()),""))</f>
        <v>R89</v>
      </c>
      <c r="B89" s="2" t="s">
        <v>2393</v>
      </c>
      <c r="C89" s="2" t="s">
        <v>126</v>
      </c>
      <c r="D89" s="2" t="s">
        <v>389</v>
      </c>
      <c r="E89" s="2" t="s">
        <v>390</v>
      </c>
      <c r="F89" s="2" t="s">
        <v>746</v>
      </c>
      <c r="G89" s="2">
        <v>2504813658</v>
      </c>
      <c r="H89" s="2" t="s">
        <v>391</v>
      </c>
      <c r="I89" s="2" t="s">
        <v>392</v>
      </c>
      <c r="J89" s="2" t="s">
        <v>393</v>
      </c>
      <c r="K89" s="2" t="s">
        <v>2076</v>
      </c>
      <c r="M89" s="2">
        <v>1</v>
      </c>
    </row>
    <row r="90" spans="1:13" ht="15" customHeight="1" x14ac:dyDescent="0.25">
      <c r="K90" s="2" t="s">
        <v>2076</v>
      </c>
    </row>
    <row r="91" spans="1:13" ht="15" customHeight="1" x14ac:dyDescent="0.25">
      <c r="A91" s="2" t="str">
        <f>IF(EXACT(F91,"N"),CONCATENATE("R",ROW()),IF(EXACT(F91,"Y"),CONCATENATE("R",ROW()),""))</f>
        <v>R91</v>
      </c>
      <c r="B91" s="2" t="s">
        <v>2394</v>
      </c>
      <c r="C91" s="2" t="s">
        <v>125</v>
      </c>
      <c r="D91" s="2" t="s">
        <v>403</v>
      </c>
      <c r="E91" s="2" t="s">
        <v>394</v>
      </c>
      <c r="F91" s="2" t="s">
        <v>776</v>
      </c>
      <c r="G91" s="2">
        <v>2504813442</v>
      </c>
      <c r="H91" s="2" t="s">
        <v>395</v>
      </c>
      <c r="I91" s="2" t="s">
        <v>396</v>
      </c>
      <c r="J91" s="2" t="s">
        <v>397</v>
      </c>
      <c r="K91" s="2" t="s">
        <v>2076</v>
      </c>
      <c r="M91" s="2">
        <v>1</v>
      </c>
    </row>
    <row r="92" spans="1:13" ht="15" customHeight="1" x14ac:dyDescent="0.25">
      <c r="A92" s="2" t="str">
        <f>IF(EXACT(F92,"N"),CONCATENATE("R",ROW()),IF(EXACT(F92,"Y"),CONCATENATE("R",ROW()),""))</f>
        <v/>
      </c>
      <c r="E92" s="2" t="s">
        <v>398</v>
      </c>
      <c r="F92" s="2" t="s">
        <v>402</v>
      </c>
      <c r="G92" s="2">
        <v>2504814102</v>
      </c>
      <c r="H92" s="2" t="s">
        <v>399</v>
      </c>
      <c r="I92" s="2" t="s">
        <v>400</v>
      </c>
      <c r="J92" s="2" t="s">
        <v>401</v>
      </c>
      <c r="K92" s="2" t="s">
        <v>2076</v>
      </c>
    </row>
    <row r="93" spans="1:13" ht="15" customHeight="1" x14ac:dyDescent="0.25">
      <c r="K93" s="2" t="s">
        <v>2076</v>
      </c>
    </row>
    <row r="94" spans="1:13" ht="15" customHeight="1" x14ac:dyDescent="0.25">
      <c r="A94" s="2" t="str">
        <f>IF(EXACT(F94,"N"),CONCATENATE("R",ROW()),IF(EXACT(F94,"Y"),CONCATENATE("R",ROW()),""))</f>
        <v>R94</v>
      </c>
      <c r="B94" s="2" t="s">
        <v>2395</v>
      </c>
      <c r="C94" s="2" t="s">
        <v>124</v>
      </c>
      <c r="D94" s="2" t="s">
        <v>404</v>
      </c>
      <c r="E94" s="2" t="s">
        <v>405</v>
      </c>
      <c r="F94" s="2" t="s">
        <v>746</v>
      </c>
      <c r="G94" s="2">
        <v>2504813698</v>
      </c>
      <c r="H94" s="2" t="s">
        <v>408</v>
      </c>
      <c r="I94" s="2" t="s">
        <v>406</v>
      </c>
      <c r="J94" s="2" t="s">
        <v>407</v>
      </c>
      <c r="K94" s="2" t="s">
        <v>2076</v>
      </c>
      <c r="M94" s="2">
        <v>1</v>
      </c>
    </row>
    <row r="95" spans="1:13" ht="15" customHeight="1" x14ac:dyDescent="0.25">
      <c r="K95" s="2" t="s">
        <v>2076</v>
      </c>
    </row>
    <row r="96" spans="1:13" ht="15" customHeight="1" x14ac:dyDescent="0.25">
      <c r="A96" s="2" t="str">
        <f>IF(EXACT(F96,"N"),CONCATENATE("R",ROW()),IF(EXACT(F96,"Y"),CONCATENATE("R",ROW()),""))</f>
        <v>R96</v>
      </c>
      <c r="B96" s="2" t="s">
        <v>2396</v>
      </c>
      <c r="C96" s="2" t="s">
        <v>129</v>
      </c>
      <c r="D96" s="2" t="s">
        <v>409</v>
      </c>
      <c r="E96" s="2" t="s">
        <v>410</v>
      </c>
      <c r="F96" s="2" t="s">
        <v>776</v>
      </c>
      <c r="G96" s="2">
        <v>2504813147</v>
      </c>
      <c r="H96" s="2" t="s">
        <v>411</v>
      </c>
      <c r="I96" s="2" t="s">
        <v>412</v>
      </c>
      <c r="J96" s="2" t="s">
        <v>413</v>
      </c>
      <c r="K96" s="2" t="s">
        <v>2076</v>
      </c>
      <c r="M96" s="2">
        <v>1</v>
      </c>
    </row>
    <row r="97" spans="1:13" ht="15" customHeight="1" x14ac:dyDescent="0.25">
      <c r="A97" s="2" t="str">
        <f>IF(EXACT(F97,"N"),CONCATENATE("R",ROW()),IF(EXACT(F97,"Y"),CONCATENATE("R",ROW()),""))</f>
        <v>R97</v>
      </c>
      <c r="B97" s="2" t="s">
        <v>2397</v>
      </c>
      <c r="C97" s="2" t="s">
        <v>130</v>
      </c>
      <c r="D97" s="2" t="s">
        <v>409</v>
      </c>
      <c r="E97" s="2" t="s">
        <v>414</v>
      </c>
      <c r="F97" s="2" t="s">
        <v>776</v>
      </c>
      <c r="G97" s="2">
        <v>2504813148</v>
      </c>
      <c r="H97" s="2" t="s">
        <v>415</v>
      </c>
      <c r="I97" s="2" t="s">
        <v>416</v>
      </c>
      <c r="J97" s="2" t="s">
        <v>417</v>
      </c>
      <c r="K97" s="2" t="s">
        <v>2076</v>
      </c>
      <c r="M97" s="2">
        <v>1</v>
      </c>
    </row>
    <row r="98" spans="1:13" ht="15" customHeight="1" x14ac:dyDescent="0.25">
      <c r="K98" s="2" t="s">
        <v>2076</v>
      </c>
    </row>
    <row r="99" spans="1:13" ht="15" customHeight="1" x14ac:dyDescent="0.25">
      <c r="A99" s="2" t="str">
        <f>IF(EXACT(F99,"N"),CONCATENATE("R",ROW()),IF(EXACT(F99,"Y"),CONCATENATE("R",ROW()),""))</f>
        <v>R99</v>
      </c>
      <c r="B99" s="2" t="s">
        <v>2398</v>
      </c>
      <c r="C99" s="2" t="s">
        <v>119</v>
      </c>
      <c r="D99" s="2" t="s">
        <v>418</v>
      </c>
      <c r="E99" s="2" t="s">
        <v>216</v>
      </c>
      <c r="F99" s="2" t="s">
        <v>776</v>
      </c>
      <c r="G99" s="2">
        <v>2504813247</v>
      </c>
      <c r="H99" s="2" t="s">
        <v>217</v>
      </c>
      <c r="I99" s="2" t="s">
        <v>218</v>
      </c>
      <c r="J99" s="2" t="s">
        <v>219</v>
      </c>
      <c r="K99" s="2" t="s">
        <v>2076</v>
      </c>
      <c r="M99" s="2">
        <v>1</v>
      </c>
    </row>
    <row r="100" spans="1:13" ht="15" customHeight="1" x14ac:dyDescent="0.25">
      <c r="A100" s="2" t="str">
        <f>IF(EXACT(F100,"N"),CONCATENATE("R",ROW()),IF(EXACT(F100,"Y"),CONCATENATE("R",ROW()),""))</f>
        <v>R100</v>
      </c>
      <c r="B100" s="2" t="s">
        <v>2356</v>
      </c>
      <c r="C100" s="2" t="s">
        <v>120</v>
      </c>
      <c r="D100" s="2" t="s">
        <v>220</v>
      </c>
      <c r="F100" s="2" t="s">
        <v>776</v>
      </c>
      <c r="K100" s="2" t="s">
        <v>2076</v>
      </c>
      <c r="M100" s="2">
        <v>1</v>
      </c>
    </row>
    <row r="101" spans="1:13" ht="15" customHeight="1" x14ac:dyDescent="0.25">
      <c r="K101" s="2" t="s">
        <v>2076</v>
      </c>
    </row>
    <row r="102" spans="1:13" ht="15" customHeight="1" x14ac:dyDescent="0.25">
      <c r="A102" s="2" t="str">
        <f>IF(EXACT(F102,"N"),CONCATENATE("R",ROW()),IF(EXACT(F102,"Y"),CONCATENATE("R",ROW()),""))</f>
        <v>R102</v>
      </c>
      <c r="B102" s="2" t="s">
        <v>2354</v>
      </c>
      <c r="C102" s="2" t="s">
        <v>122</v>
      </c>
      <c r="D102" s="2" t="s">
        <v>2260</v>
      </c>
      <c r="E102" s="2" t="s">
        <v>423</v>
      </c>
      <c r="F102" s="2" t="s">
        <v>776</v>
      </c>
      <c r="G102" s="2">
        <v>2504813980</v>
      </c>
      <c r="H102" s="2" t="s">
        <v>424</v>
      </c>
      <c r="I102" s="2" t="s">
        <v>425</v>
      </c>
      <c r="J102" s="2" t="s">
        <v>426</v>
      </c>
      <c r="K102" s="2" t="s">
        <v>2076</v>
      </c>
      <c r="L102" s="2" t="s">
        <v>427</v>
      </c>
      <c r="M102" s="2">
        <v>1</v>
      </c>
    </row>
    <row r="103" spans="1:13" ht="15" customHeight="1" x14ac:dyDescent="0.25">
      <c r="K103" s="2" t="s">
        <v>2076</v>
      </c>
    </row>
    <row r="104" spans="1:13" ht="15" customHeight="1" x14ac:dyDescent="0.25">
      <c r="A104" s="2" t="str">
        <f>IF(EXACT(F104,"N"),CONCATENATE("R",ROW()),IF(EXACT(F104,"Y"),CONCATENATE("R",ROW()),""))</f>
        <v>R104</v>
      </c>
      <c r="B104" s="2" t="s">
        <v>2355</v>
      </c>
      <c r="C104" s="2" t="s">
        <v>123</v>
      </c>
      <c r="D104" s="2" t="s">
        <v>2259</v>
      </c>
      <c r="E104" s="2" t="s">
        <v>419</v>
      </c>
      <c r="F104" s="2" t="s">
        <v>776</v>
      </c>
      <c r="G104" s="2">
        <v>2504813845</v>
      </c>
      <c r="H104" s="2" t="s">
        <v>420</v>
      </c>
      <c r="I104" s="2" t="s">
        <v>421</v>
      </c>
      <c r="J104" s="2" t="s">
        <v>422</v>
      </c>
      <c r="K104" s="2" t="s">
        <v>2076</v>
      </c>
      <c r="L104" s="2" t="s">
        <v>427</v>
      </c>
      <c r="M104" s="2">
        <v>1</v>
      </c>
    </row>
    <row r="105" spans="1:13" ht="15" customHeight="1" x14ac:dyDescent="0.25">
      <c r="K105" s="2" t="s">
        <v>2076</v>
      </c>
    </row>
    <row r="106" spans="1:13" s="27" customFormat="1" ht="15" customHeight="1" x14ac:dyDescent="0.25">
      <c r="C106" s="27" t="s">
        <v>2075</v>
      </c>
      <c r="K106" s="27" t="s">
        <v>2076</v>
      </c>
    </row>
    <row r="107" spans="1:13" ht="15" customHeight="1" x14ac:dyDescent="0.25">
      <c r="A107" s="2" t="str">
        <f>IF(EXACT(F107,"N"),CONCATENATE("R",ROW()),IF(EXACT(F107,"Y"),CONCATENATE("R",ROW()),""))</f>
        <v>R107</v>
      </c>
      <c r="B107" s="2" t="s">
        <v>2399</v>
      </c>
      <c r="C107" s="2" t="s">
        <v>8</v>
      </c>
      <c r="D107" s="2" t="s">
        <v>428</v>
      </c>
      <c r="E107" s="2" t="s">
        <v>429</v>
      </c>
      <c r="F107" s="2" t="s">
        <v>776</v>
      </c>
      <c r="G107" s="2">
        <v>2504813541</v>
      </c>
      <c r="H107" s="2" t="s">
        <v>430</v>
      </c>
      <c r="I107" s="2" t="s">
        <v>431</v>
      </c>
      <c r="J107" s="2" t="s">
        <v>432</v>
      </c>
      <c r="K107" s="2" t="s">
        <v>2076</v>
      </c>
      <c r="M107" s="2">
        <v>1</v>
      </c>
    </row>
    <row r="108" spans="1:13" ht="15" customHeight="1" x14ac:dyDescent="0.25">
      <c r="A108" s="2" t="str">
        <f>IF(EXACT(F108,"N"),CONCATENATE("R",ROW()),IF(EXACT(F108,"Y"),CONCATENATE("R",ROW()),""))</f>
        <v/>
      </c>
      <c r="E108" s="2" t="s">
        <v>429</v>
      </c>
      <c r="G108" s="2">
        <v>2504813847</v>
      </c>
      <c r="H108" s="2" t="s">
        <v>433</v>
      </c>
      <c r="I108" s="2" t="s">
        <v>434</v>
      </c>
      <c r="J108" s="2" t="s">
        <v>435</v>
      </c>
      <c r="K108" s="2" t="s">
        <v>2076</v>
      </c>
    </row>
    <row r="110" spans="1:13" ht="15" customHeight="1" x14ac:dyDescent="0.25">
      <c r="A110" s="2" t="str">
        <f t="shared" ref="A110:A209" si="0">IF(EXACT(F110,"N"),CONCATENATE("R",ROW()),IF(EXACT(F110,"Y"),CONCATENATE("R",ROW()),""))</f>
        <v>R110</v>
      </c>
      <c r="B110" s="2" t="s">
        <v>2400</v>
      </c>
      <c r="C110" s="2" t="s">
        <v>178</v>
      </c>
      <c r="D110" s="2" t="s">
        <v>446</v>
      </c>
      <c r="E110" s="2" t="s">
        <v>447</v>
      </c>
      <c r="F110" s="2" t="s">
        <v>746</v>
      </c>
      <c r="G110" s="2">
        <v>2504813776</v>
      </c>
      <c r="H110" s="2" t="s">
        <v>448</v>
      </c>
      <c r="I110" s="2" t="s">
        <v>449</v>
      </c>
      <c r="J110" s="2" t="s">
        <v>450</v>
      </c>
      <c r="K110" s="2" t="s">
        <v>2076</v>
      </c>
      <c r="M110" s="2">
        <v>1</v>
      </c>
    </row>
    <row r="111" spans="1:13" ht="15" customHeight="1" x14ac:dyDescent="0.25">
      <c r="K111" s="2" t="s">
        <v>2076</v>
      </c>
    </row>
    <row r="112" spans="1:13" ht="15" customHeight="1" x14ac:dyDescent="0.25">
      <c r="A112" s="2" t="str">
        <f t="shared" si="0"/>
        <v>R112</v>
      </c>
      <c r="B112" s="2" t="s">
        <v>2401</v>
      </c>
      <c r="C112" s="2" t="s">
        <v>177</v>
      </c>
      <c r="D112" s="2" t="s">
        <v>451</v>
      </c>
      <c r="E112" s="2" t="s">
        <v>452</v>
      </c>
      <c r="F112" s="2" t="s">
        <v>746</v>
      </c>
      <c r="G112" s="2">
        <v>2504813325</v>
      </c>
      <c r="H112" s="2" t="s">
        <v>453</v>
      </c>
      <c r="I112" s="2" t="s">
        <v>454</v>
      </c>
      <c r="J112" s="2" t="s">
        <v>455</v>
      </c>
      <c r="K112" s="2" t="s">
        <v>2076</v>
      </c>
      <c r="M112" s="2">
        <v>1</v>
      </c>
    </row>
    <row r="113" spans="1:13" ht="15" customHeight="1" x14ac:dyDescent="0.25">
      <c r="K113" s="2" t="s">
        <v>2076</v>
      </c>
    </row>
    <row r="114" spans="1:13" ht="15" customHeight="1" x14ac:dyDescent="0.25">
      <c r="A114" s="2" t="str">
        <f t="shared" si="0"/>
        <v>R114</v>
      </c>
      <c r="B114" s="2" t="s">
        <v>2402</v>
      </c>
      <c r="C114" s="2" t="s">
        <v>7</v>
      </c>
      <c r="D114" s="2" t="s">
        <v>456</v>
      </c>
      <c r="E114" s="2" t="s">
        <v>376</v>
      </c>
      <c r="F114" s="2" t="s">
        <v>776</v>
      </c>
      <c r="K114" s="2" t="s">
        <v>2076</v>
      </c>
      <c r="M114" s="2">
        <v>1</v>
      </c>
    </row>
    <row r="115" spans="1:13" ht="15" customHeight="1" x14ac:dyDescent="0.25">
      <c r="K115" s="2" t="s">
        <v>2076</v>
      </c>
    </row>
    <row r="116" spans="1:13" ht="15" customHeight="1" x14ac:dyDescent="0.25">
      <c r="A116" s="2" t="str">
        <f t="shared" si="0"/>
        <v>R116</v>
      </c>
      <c r="B116" s="2" t="s">
        <v>2403</v>
      </c>
      <c r="C116" s="2" t="s">
        <v>12</v>
      </c>
      <c r="D116" s="2" t="s">
        <v>457</v>
      </c>
      <c r="E116" s="2" t="s">
        <v>239</v>
      </c>
      <c r="F116" s="2" t="s">
        <v>776</v>
      </c>
      <c r="G116" s="2">
        <v>2504813784</v>
      </c>
      <c r="H116" s="2" t="s">
        <v>458</v>
      </c>
      <c r="I116" s="2" t="s">
        <v>459</v>
      </c>
      <c r="J116" s="2" t="s">
        <v>460</v>
      </c>
      <c r="K116" s="2" t="s">
        <v>2076</v>
      </c>
      <c r="M116" s="2">
        <v>1</v>
      </c>
    </row>
    <row r="117" spans="1:13" ht="15" customHeight="1" x14ac:dyDescent="0.25">
      <c r="K117" s="2" t="s">
        <v>2076</v>
      </c>
    </row>
    <row r="118" spans="1:13" ht="15" customHeight="1" x14ac:dyDescent="0.25">
      <c r="A118" s="2" t="str">
        <f t="shared" si="0"/>
        <v>R118</v>
      </c>
      <c r="B118" s="2" t="s">
        <v>2404</v>
      </c>
      <c r="C118" s="2" t="s">
        <v>15</v>
      </c>
      <c r="E118" s="2" t="s">
        <v>461</v>
      </c>
      <c r="F118" s="2" t="s">
        <v>776</v>
      </c>
      <c r="K118" s="2" t="s">
        <v>2076</v>
      </c>
      <c r="M118" s="2">
        <v>0</v>
      </c>
    </row>
    <row r="119" spans="1:13" ht="15" customHeight="1" x14ac:dyDescent="0.25">
      <c r="K119" s="2" t="s">
        <v>2076</v>
      </c>
    </row>
    <row r="120" spans="1:13" ht="15" customHeight="1" x14ac:dyDescent="0.25">
      <c r="A120" s="2" t="str">
        <f t="shared" si="0"/>
        <v>R120</v>
      </c>
      <c r="B120" s="2" t="s">
        <v>2405</v>
      </c>
      <c r="C120" s="2" t="s">
        <v>13</v>
      </c>
      <c r="D120" s="2" t="s">
        <v>462</v>
      </c>
      <c r="E120" s="2" t="s">
        <v>463</v>
      </c>
      <c r="F120" s="2" t="s">
        <v>776</v>
      </c>
      <c r="G120" s="2">
        <v>2504812967</v>
      </c>
      <c r="H120" s="2" t="s">
        <v>464</v>
      </c>
      <c r="I120" s="2" t="s">
        <v>465</v>
      </c>
      <c r="J120" s="2" t="s">
        <v>466</v>
      </c>
      <c r="K120" s="2" t="s">
        <v>2076</v>
      </c>
      <c r="M120" s="2">
        <v>1</v>
      </c>
    </row>
    <row r="121" spans="1:13" ht="15" customHeight="1" x14ac:dyDescent="0.25">
      <c r="K121" s="2" t="s">
        <v>2076</v>
      </c>
    </row>
    <row r="122" spans="1:13" ht="15" customHeight="1" x14ac:dyDescent="0.25">
      <c r="A122" s="2" t="str">
        <f t="shared" si="0"/>
        <v>R122</v>
      </c>
      <c r="B122" s="2" t="s">
        <v>2350</v>
      </c>
      <c r="C122" s="2" t="s">
        <v>1033</v>
      </c>
      <c r="D122" s="2" t="s">
        <v>836</v>
      </c>
      <c r="E122" s="2" t="s">
        <v>376</v>
      </c>
      <c r="F122" s="2" t="s">
        <v>746</v>
      </c>
      <c r="K122" s="2" t="s">
        <v>2076</v>
      </c>
      <c r="M122" s="2">
        <v>1</v>
      </c>
    </row>
    <row r="123" spans="1:13" ht="15" customHeight="1" x14ac:dyDescent="0.25">
      <c r="K123" s="2" t="s">
        <v>2076</v>
      </c>
    </row>
    <row r="124" spans="1:13" ht="15" customHeight="1" x14ac:dyDescent="0.25">
      <c r="A124" s="2" t="str">
        <f t="shared" si="0"/>
        <v>R124</v>
      </c>
      <c r="B124" s="2" t="s">
        <v>1897</v>
      </c>
      <c r="C124" s="2" t="s">
        <v>1030</v>
      </c>
      <c r="D124" s="2" t="s">
        <v>837</v>
      </c>
      <c r="E124" s="2" t="s">
        <v>838</v>
      </c>
      <c r="F124" s="2" t="s">
        <v>746</v>
      </c>
      <c r="G124" s="2">
        <v>2504813904</v>
      </c>
      <c r="H124" s="2" t="s">
        <v>839</v>
      </c>
      <c r="I124" s="2" t="s">
        <v>840</v>
      </c>
      <c r="J124" s="2" t="s">
        <v>841</v>
      </c>
      <c r="K124" s="2" t="s">
        <v>2076</v>
      </c>
      <c r="M124" s="2">
        <v>1</v>
      </c>
    </row>
    <row r="125" spans="1:13" ht="15" customHeight="1" x14ac:dyDescent="0.25">
      <c r="K125" s="2" t="s">
        <v>2076</v>
      </c>
    </row>
    <row r="126" spans="1:13" ht="15" customHeight="1" x14ac:dyDescent="0.25">
      <c r="A126" s="2" t="str">
        <f t="shared" si="0"/>
        <v>R126</v>
      </c>
      <c r="B126" s="2" t="s">
        <v>1898</v>
      </c>
      <c r="C126" s="2" t="s">
        <v>1034</v>
      </c>
      <c r="D126" s="2" t="s">
        <v>842</v>
      </c>
      <c r="E126" s="2" t="s">
        <v>843</v>
      </c>
      <c r="F126" s="2" t="s">
        <v>776</v>
      </c>
      <c r="G126" s="2">
        <v>2504813901</v>
      </c>
      <c r="H126" s="2" t="s">
        <v>844</v>
      </c>
      <c r="I126" s="2" t="s">
        <v>845</v>
      </c>
      <c r="J126" s="2" t="s">
        <v>846</v>
      </c>
      <c r="K126" s="2" t="s">
        <v>2076</v>
      </c>
      <c r="M126" s="2">
        <v>1</v>
      </c>
    </row>
    <row r="127" spans="1:13" ht="15" customHeight="1" x14ac:dyDescent="0.25">
      <c r="K127" s="2" t="s">
        <v>2076</v>
      </c>
    </row>
    <row r="128" spans="1:13" ht="15" customHeight="1" x14ac:dyDescent="0.25">
      <c r="A128" s="2" t="str">
        <f t="shared" si="0"/>
        <v>R128</v>
      </c>
      <c r="B128" s="2" t="s">
        <v>1899</v>
      </c>
      <c r="C128" s="2" t="s">
        <v>1031</v>
      </c>
      <c r="D128" s="2" t="s">
        <v>847</v>
      </c>
      <c r="E128" s="2" t="s">
        <v>848</v>
      </c>
      <c r="F128" s="2" t="s">
        <v>776</v>
      </c>
      <c r="G128" s="2">
        <v>2504813905</v>
      </c>
      <c r="H128" s="2" t="s">
        <v>849</v>
      </c>
      <c r="I128" s="2" t="s">
        <v>850</v>
      </c>
      <c r="J128" s="2" t="s">
        <v>851</v>
      </c>
      <c r="K128" s="2" t="s">
        <v>2076</v>
      </c>
      <c r="M128" s="2">
        <v>1</v>
      </c>
    </row>
    <row r="129" spans="1:13" ht="15" customHeight="1" x14ac:dyDescent="0.25">
      <c r="K129" s="2" t="s">
        <v>2076</v>
      </c>
    </row>
    <row r="130" spans="1:13" ht="15" customHeight="1" x14ac:dyDescent="0.25">
      <c r="A130" s="2" t="str">
        <f t="shared" si="0"/>
        <v>R130</v>
      </c>
      <c r="B130" s="2" t="s">
        <v>2351</v>
      </c>
      <c r="C130" s="2" t="s">
        <v>853</v>
      </c>
      <c r="D130" s="2" t="s">
        <v>852</v>
      </c>
      <c r="F130" s="2" t="s">
        <v>746</v>
      </c>
      <c r="K130" s="2" t="s">
        <v>2076</v>
      </c>
      <c r="M130" s="2">
        <v>1</v>
      </c>
    </row>
    <row r="131" spans="1:13" ht="15" customHeight="1" x14ac:dyDescent="0.25">
      <c r="K131" s="2" t="s">
        <v>2076</v>
      </c>
    </row>
    <row r="132" spans="1:13" ht="15" customHeight="1" x14ac:dyDescent="0.25">
      <c r="A132" s="2" t="str">
        <f t="shared" si="0"/>
        <v>R132</v>
      </c>
      <c r="B132" s="2" t="s">
        <v>2406</v>
      </c>
      <c r="C132" s="2" t="s">
        <v>11</v>
      </c>
      <c r="D132" s="2" t="s">
        <v>474</v>
      </c>
      <c r="E132" s="2" t="s">
        <v>471</v>
      </c>
      <c r="F132" s="2" t="s">
        <v>746</v>
      </c>
      <c r="G132" s="2">
        <v>2504814512</v>
      </c>
      <c r="H132" s="2" t="s">
        <v>470</v>
      </c>
      <c r="I132" s="2" t="s">
        <v>472</v>
      </c>
      <c r="J132" s="2" t="s">
        <v>473</v>
      </c>
      <c r="K132" s="2" t="s">
        <v>2076</v>
      </c>
      <c r="M132" s="2">
        <v>1</v>
      </c>
    </row>
    <row r="133" spans="1:13" ht="15" customHeight="1" x14ac:dyDescent="0.25">
      <c r="K133" s="2" t="s">
        <v>2076</v>
      </c>
    </row>
    <row r="134" spans="1:13" ht="15" customHeight="1" x14ac:dyDescent="0.25">
      <c r="A134" s="2" t="str">
        <f t="shared" si="0"/>
        <v>R134</v>
      </c>
      <c r="B134" s="2" t="s">
        <v>2407</v>
      </c>
      <c r="C134" s="2" t="s">
        <v>14</v>
      </c>
      <c r="D134" s="2" t="s">
        <v>475</v>
      </c>
      <c r="E134" s="2" t="s">
        <v>476</v>
      </c>
      <c r="F134" s="2" t="s">
        <v>776</v>
      </c>
      <c r="G134" s="2">
        <v>2504813631</v>
      </c>
      <c r="H134" s="2" t="s">
        <v>477</v>
      </c>
      <c r="I134" s="2" t="s">
        <v>478</v>
      </c>
      <c r="J134" s="2" t="s">
        <v>479</v>
      </c>
      <c r="K134" s="2" t="s">
        <v>2076</v>
      </c>
      <c r="M134" s="2">
        <v>1</v>
      </c>
    </row>
    <row r="135" spans="1:13" ht="15" customHeight="1" x14ac:dyDescent="0.25">
      <c r="K135" s="2" t="s">
        <v>2076</v>
      </c>
    </row>
    <row r="136" spans="1:13" ht="15" customHeight="1" x14ac:dyDescent="0.25">
      <c r="A136" s="2" t="str">
        <f t="shared" si="0"/>
        <v>R136</v>
      </c>
      <c r="B136" s="2" t="s">
        <v>2408</v>
      </c>
      <c r="C136" s="2" t="s">
        <v>10</v>
      </c>
      <c r="D136" s="2" t="s">
        <v>440</v>
      </c>
      <c r="E136" s="2" t="s">
        <v>436</v>
      </c>
      <c r="F136" s="2" t="s">
        <v>776</v>
      </c>
      <c r="G136" s="2">
        <v>2504813898</v>
      </c>
      <c r="H136" s="2" t="s">
        <v>437</v>
      </c>
      <c r="I136" s="2" t="s">
        <v>438</v>
      </c>
      <c r="J136" s="2" t="s">
        <v>439</v>
      </c>
      <c r="K136" s="2" t="s">
        <v>2076</v>
      </c>
      <c r="M136" s="2">
        <v>1</v>
      </c>
    </row>
    <row r="137" spans="1:13" ht="15" customHeight="1" x14ac:dyDescent="0.25">
      <c r="K137" s="2" t="s">
        <v>2076</v>
      </c>
    </row>
    <row r="138" spans="1:13" ht="15" customHeight="1" x14ac:dyDescent="0.25">
      <c r="A138" s="2" t="str">
        <f t="shared" si="0"/>
        <v>R138</v>
      </c>
      <c r="B138" s="2" t="s">
        <v>2409</v>
      </c>
      <c r="C138" s="2" t="s">
        <v>9</v>
      </c>
      <c r="D138" s="2" t="s">
        <v>441</v>
      </c>
      <c r="E138" s="2" t="s">
        <v>442</v>
      </c>
      <c r="F138" s="2" t="s">
        <v>776</v>
      </c>
      <c r="G138" s="2">
        <v>2504813897</v>
      </c>
      <c r="H138" s="2" t="s">
        <v>443</v>
      </c>
      <c r="I138" s="2" t="s">
        <v>444</v>
      </c>
      <c r="J138" s="2" t="s">
        <v>445</v>
      </c>
      <c r="K138" s="2" t="s">
        <v>2076</v>
      </c>
      <c r="M138" s="2">
        <v>1</v>
      </c>
    </row>
    <row r="139" spans="1:13" ht="15" customHeight="1" x14ac:dyDescent="0.25">
      <c r="K139" s="2" t="s">
        <v>2076</v>
      </c>
    </row>
    <row r="140" spans="1:13" ht="15" customHeight="1" x14ac:dyDescent="0.25">
      <c r="A140" s="2" t="str">
        <f t="shared" si="0"/>
        <v>R140</v>
      </c>
      <c r="B140" s="2" t="s">
        <v>2410</v>
      </c>
      <c r="C140" s="2" t="s">
        <v>38</v>
      </c>
      <c r="D140" s="2" t="s">
        <v>480</v>
      </c>
      <c r="E140" s="2" t="s">
        <v>376</v>
      </c>
      <c r="F140" s="2" t="s">
        <v>776</v>
      </c>
      <c r="K140" s="2" t="s">
        <v>2076</v>
      </c>
      <c r="M140" s="2">
        <v>1</v>
      </c>
    </row>
    <row r="141" spans="1:13" ht="15" customHeight="1" x14ac:dyDescent="0.25">
      <c r="K141" s="2" t="s">
        <v>2076</v>
      </c>
    </row>
    <row r="142" spans="1:13" ht="15" customHeight="1" x14ac:dyDescent="0.25">
      <c r="A142" s="2" t="str">
        <f t="shared" si="0"/>
        <v>R142</v>
      </c>
      <c r="B142" s="2" t="s">
        <v>2411</v>
      </c>
      <c r="C142" s="2" t="s">
        <v>187</v>
      </c>
      <c r="D142" s="2" t="s">
        <v>2261</v>
      </c>
      <c r="E142" s="2" t="s">
        <v>481</v>
      </c>
      <c r="F142" s="2" t="s">
        <v>746</v>
      </c>
      <c r="G142" s="2">
        <v>2504813053</v>
      </c>
      <c r="H142" s="2" t="s">
        <v>482</v>
      </c>
      <c r="I142" s="2" t="s">
        <v>483</v>
      </c>
      <c r="J142" s="2" t="s">
        <v>484</v>
      </c>
      <c r="K142" s="2" t="s">
        <v>2076</v>
      </c>
      <c r="M142" s="2">
        <v>1</v>
      </c>
    </row>
    <row r="143" spans="1:13" ht="15" customHeight="1" x14ac:dyDescent="0.25">
      <c r="K143" s="2" t="s">
        <v>2076</v>
      </c>
    </row>
    <row r="144" spans="1:13" ht="15" customHeight="1" x14ac:dyDescent="0.25">
      <c r="A144" s="2" t="str">
        <f t="shared" si="0"/>
        <v>R144</v>
      </c>
      <c r="B144" s="2" t="s">
        <v>2412</v>
      </c>
      <c r="C144" s="2" t="s">
        <v>58</v>
      </c>
      <c r="D144" s="2" t="s">
        <v>486</v>
      </c>
      <c r="E144" s="2" t="s">
        <v>485</v>
      </c>
      <c r="F144" s="2" t="s">
        <v>776</v>
      </c>
      <c r="G144" s="2">
        <v>2504813461</v>
      </c>
      <c r="H144" s="2" t="s">
        <v>487</v>
      </c>
      <c r="I144" s="2" t="s">
        <v>488</v>
      </c>
      <c r="J144" s="2" t="s">
        <v>489</v>
      </c>
      <c r="K144" s="2" t="s">
        <v>2076</v>
      </c>
      <c r="M144" s="2">
        <v>1</v>
      </c>
    </row>
    <row r="145" spans="1:13" ht="15" customHeight="1" x14ac:dyDescent="0.25">
      <c r="K145" s="2" t="s">
        <v>2076</v>
      </c>
    </row>
    <row r="146" spans="1:13" ht="15" customHeight="1" x14ac:dyDescent="0.25">
      <c r="A146" s="2" t="str">
        <f t="shared" si="0"/>
        <v>R146</v>
      </c>
      <c r="B146" s="2" t="s">
        <v>2413</v>
      </c>
      <c r="C146" s="2" t="s">
        <v>63</v>
      </c>
      <c r="D146" s="2" t="s">
        <v>490</v>
      </c>
      <c r="E146" s="2" t="s">
        <v>491</v>
      </c>
      <c r="F146" s="2" t="s">
        <v>776</v>
      </c>
      <c r="G146" s="2">
        <v>2504813462</v>
      </c>
      <c r="H146" s="2" t="s">
        <v>492</v>
      </c>
      <c r="I146" s="2" t="s">
        <v>493</v>
      </c>
      <c r="J146" s="2" t="s">
        <v>494</v>
      </c>
      <c r="K146" s="2" t="s">
        <v>2076</v>
      </c>
      <c r="M146" s="2">
        <v>1</v>
      </c>
    </row>
    <row r="147" spans="1:13" ht="15" customHeight="1" x14ac:dyDescent="0.25">
      <c r="K147" s="2" t="s">
        <v>2076</v>
      </c>
    </row>
    <row r="148" spans="1:13" ht="15" customHeight="1" x14ac:dyDescent="0.25">
      <c r="A148" s="2" t="str">
        <f t="shared" si="0"/>
        <v>R148</v>
      </c>
      <c r="B148" s="2" t="s">
        <v>2414</v>
      </c>
      <c r="C148" s="2" t="s">
        <v>62</v>
      </c>
      <c r="D148" s="2" t="s">
        <v>495</v>
      </c>
      <c r="E148" s="2" t="s">
        <v>496</v>
      </c>
      <c r="F148" s="2" t="s">
        <v>776</v>
      </c>
      <c r="G148" s="2">
        <v>2504814371</v>
      </c>
      <c r="H148" s="2" t="s">
        <v>497</v>
      </c>
      <c r="I148" s="2" t="s">
        <v>498</v>
      </c>
      <c r="J148" s="2" t="s">
        <v>499</v>
      </c>
      <c r="K148" s="2" t="s">
        <v>2076</v>
      </c>
      <c r="M148" s="2">
        <v>1</v>
      </c>
    </row>
    <row r="149" spans="1:13" ht="15" customHeight="1" x14ac:dyDescent="0.25">
      <c r="K149" s="2" t="s">
        <v>2076</v>
      </c>
    </row>
    <row r="150" spans="1:13" ht="15" customHeight="1" x14ac:dyDescent="0.25">
      <c r="A150" s="2" t="str">
        <f t="shared" si="0"/>
        <v>R150</v>
      </c>
      <c r="B150" s="2" t="s">
        <v>2415</v>
      </c>
      <c r="C150" s="2" t="s">
        <v>61</v>
      </c>
      <c r="D150" s="2" t="s">
        <v>2262</v>
      </c>
      <c r="E150" s="2" t="s">
        <v>500</v>
      </c>
      <c r="F150" s="2" t="s">
        <v>746</v>
      </c>
      <c r="G150" s="2">
        <v>2504812986</v>
      </c>
      <c r="H150" s="2" t="s">
        <v>501</v>
      </c>
      <c r="I150" s="2" t="s">
        <v>502</v>
      </c>
      <c r="J150" s="2" t="s">
        <v>503</v>
      </c>
      <c r="K150" s="2" t="s">
        <v>2076</v>
      </c>
      <c r="M150" s="2">
        <v>1</v>
      </c>
    </row>
    <row r="151" spans="1:13" ht="15" customHeight="1" x14ac:dyDescent="0.25">
      <c r="A151" s="2" t="str">
        <f t="shared" si="0"/>
        <v/>
      </c>
      <c r="E151" s="2" t="s">
        <v>500</v>
      </c>
      <c r="G151" s="2">
        <v>2504814234</v>
      </c>
      <c r="H151" s="2" t="s">
        <v>504</v>
      </c>
      <c r="I151" s="2" t="s">
        <v>505</v>
      </c>
      <c r="J151" s="2" t="s">
        <v>506</v>
      </c>
      <c r="K151" s="2" t="s">
        <v>2076</v>
      </c>
    </row>
    <row r="152" spans="1:13" ht="15" customHeight="1" x14ac:dyDescent="0.25">
      <c r="K152" s="2" t="s">
        <v>2076</v>
      </c>
    </row>
    <row r="153" spans="1:13" ht="15" customHeight="1" x14ac:dyDescent="0.25">
      <c r="A153" s="2" t="str">
        <f t="shared" si="0"/>
        <v>R153</v>
      </c>
      <c r="B153" s="2" t="s">
        <v>2416</v>
      </c>
      <c r="C153" s="2" t="s">
        <v>60</v>
      </c>
      <c r="D153" s="2" t="s">
        <v>2263</v>
      </c>
      <c r="E153" s="2" t="s">
        <v>507</v>
      </c>
      <c r="F153" s="2" t="s">
        <v>746</v>
      </c>
      <c r="G153" s="2">
        <v>2504814231</v>
      </c>
      <c r="H153" s="2" t="s">
        <v>510</v>
      </c>
      <c r="I153" s="2" t="s">
        <v>508</v>
      </c>
      <c r="J153" s="2" t="s">
        <v>509</v>
      </c>
      <c r="K153" s="2" t="s">
        <v>2076</v>
      </c>
      <c r="M153" s="2">
        <v>1</v>
      </c>
    </row>
    <row r="154" spans="1:13" ht="15" customHeight="1" x14ac:dyDescent="0.25">
      <c r="A154" s="2" t="str">
        <f t="shared" si="0"/>
        <v/>
      </c>
      <c r="E154" s="2" t="s">
        <v>507</v>
      </c>
      <c r="G154" s="2">
        <v>2504814685</v>
      </c>
      <c r="H154" s="2" t="s">
        <v>511</v>
      </c>
      <c r="I154" s="2" t="s">
        <v>512</v>
      </c>
      <c r="J154" s="2" t="s">
        <v>513</v>
      </c>
      <c r="K154" s="2" t="s">
        <v>2076</v>
      </c>
    </row>
    <row r="155" spans="1:13" ht="15" customHeight="1" x14ac:dyDescent="0.25">
      <c r="K155" s="2" t="s">
        <v>2076</v>
      </c>
    </row>
    <row r="156" spans="1:13" ht="15" customHeight="1" x14ac:dyDescent="0.25">
      <c r="A156" s="2" t="str">
        <f t="shared" si="0"/>
        <v>R156</v>
      </c>
      <c r="B156" s="2" t="s">
        <v>2417</v>
      </c>
      <c r="C156" s="2" t="s">
        <v>21</v>
      </c>
      <c r="D156" s="2" t="s">
        <v>523</v>
      </c>
      <c r="E156" s="2" t="s">
        <v>514</v>
      </c>
      <c r="F156" s="2" t="s">
        <v>746</v>
      </c>
      <c r="G156" s="2">
        <v>2504813103</v>
      </c>
      <c r="H156" s="2" t="s">
        <v>515</v>
      </c>
      <c r="I156" s="2" t="s">
        <v>516</v>
      </c>
      <c r="J156" s="2" t="s">
        <v>517</v>
      </c>
      <c r="K156" s="2" t="s">
        <v>2076</v>
      </c>
      <c r="M156" s="2">
        <v>1</v>
      </c>
    </row>
    <row r="157" spans="1:13" ht="15" customHeight="1" x14ac:dyDescent="0.25">
      <c r="A157" s="2" t="str">
        <f t="shared" si="0"/>
        <v/>
      </c>
      <c r="E157" s="2" t="s">
        <v>518</v>
      </c>
      <c r="G157" s="2">
        <v>2504814009</v>
      </c>
      <c r="H157" s="2" t="s">
        <v>519</v>
      </c>
      <c r="I157" s="2" t="s">
        <v>520</v>
      </c>
      <c r="J157" s="2" t="s">
        <v>521</v>
      </c>
      <c r="K157" s="2" t="s">
        <v>2076</v>
      </c>
    </row>
    <row r="158" spans="1:13" ht="15" customHeight="1" x14ac:dyDescent="0.25">
      <c r="K158" s="2" t="s">
        <v>2076</v>
      </c>
    </row>
    <row r="159" spans="1:13" ht="15" customHeight="1" x14ac:dyDescent="0.25">
      <c r="A159" s="2" t="str">
        <f t="shared" si="0"/>
        <v>R159</v>
      </c>
      <c r="B159" s="2" t="s">
        <v>2359</v>
      </c>
      <c r="C159" s="2" t="s">
        <v>1649</v>
      </c>
      <c r="D159" s="2" t="s">
        <v>522</v>
      </c>
      <c r="E159" s="2" t="s">
        <v>524</v>
      </c>
      <c r="F159" s="2" t="s">
        <v>776</v>
      </c>
      <c r="G159" s="2">
        <v>2504814139</v>
      </c>
      <c r="H159" s="2" t="s">
        <v>525</v>
      </c>
      <c r="I159" s="2" t="s">
        <v>526</v>
      </c>
      <c r="J159" s="2" t="s">
        <v>527</v>
      </c>
      <c r="K159" s="2" t="s">
        <v>2076</v>
      </c>
      <c r="M159" s="2">
        <v>1</v>
      </c>
    </row>
    <row r="160" spans="1:13" ht="15" customHeight="1" x14ac:dyDescent="0.25">
      <c r="A160" s="2" t="str">
        <f t="shared" si="0"/>
        <v>R160</v>
      </c>
      <c r="B160" s="2" t="s">
        <v>2598</v>
      </c>
      <c r="C160" s="2" t="s">
        <v>2043</v>
      </c>
      <c r="E160" s="2" t="s">
        <v>524</v>
      </c>
      <c r="F160" s="2" t="s">
        <v>746</v>
      </c>
      <c r="G160" s="2">
        <v>2504814139</v>
      </c>
      <c r="H160" s="2" t="s">
        <v>525</v>
      </c>
      <c r="I160" s="2" t="s">
        <v>526</v>
      </c>
      <c r="J160" s="2" t="s">
        <v>527</v>
      </c>
      <c r="K160" s="2" t="s">
        <v>2076</v>
      </c>
      <c r="M160" s="2">
        <v>1</v>
      </c>
    </row>
    <row r="161" spans="1:13" ht="15" customHeight="1" x14ac:dyDescent="0.25">
      <c r="K161" s="2" t="s">
        <v>2076</v>
      </c>
    </row>
    <row r="162" spans="1:13" ht="15" customHeight="1" x14ac:dyDescent="0.25">
      <c r="A162" s="2" t="str">
        <f t="shared" si="0"/>
        <v>R162</v>
      </c>
      <c r="B162" s="2" t="s">
        <v>2418</v>
      </c>
      <c r="C162" s="2" t="s">
        <v>90</v>
      </c>
      <c r="D162" s="2" t="s">
        <v>528</v>
      </c>
      <c r="E162" s="2" t="s">
        <v>376</v>
      </c>
      <c r="F162" s="2" t="s">
        <v>746</v>
      </c>
      <c r="K162" s="2" t="s">
        <v>2076</v>
      </c>
      <c r="M162" s="2">
        <v>1</v>
      </c>
    </row>
    <row r="163" spans="1:13" ht="15" customHeight="1" x14ac:dyDescent="0.25">
      <c r="K163" s="2" t="s">
        <v>2076</v>
      </c>
    </row>
    <row r="164" spans="1:13" ht="15" customHeight="1" x14ac:dyDescent="0.25">
      <c r="A164" s="2" t="str">
        <f t="shared" si="0"/>
        <v>R164</v>
      </c>
      <c r="B164" s="2" t="s">
        <v>2419</v>
      </c>
      <c r="C164" s="2" t="s">
        <v>89</v>
      </c>
      <c r="D164" s="2" t="s">
        <v>529</v>
      </c>
      <c r="E164" s="2" t="s">
        <v>531</v>
      </c>
      <c r="F164" s="2" t="s">
        <v>776</v>
      </c>
      <c r="G164" s="2">
        <v>2504813438</v>
      </c>
      <c r="H164" s="2" t="s">
        <v>530</v>
      </c>
      <c r="I164" s="2" t="s">
        <v>532</v>
      </c>
      <c r="J164" s="2" t="s">
        <v>533</v>
      </c>
      <c r="K164" s="2" t="s">
        <v>2076</v>
      </c>
      <c r="M164" s="2">
        <v>1</v>
      </c>
    </row>
    <row r="165" spans="1:13" ht="15" customHeight="1" x14ac:dyDescent="0.25">
      <c r="A165" s="2" t="str">
        <f t="shared" si="0"/>
        <v/>
      </c>
      <c r="E165" s="2" t="s">
        <v>535</v>
      </c>
      <c r="G165" s="2">
        <v>2504814289</v>
      </c>
      <c r="H165" s="2" t="s">
        <v>534</v>
      </c>
      <c r="I165" s="2" t="s">
        <v>536</v>
      </c>
      <c r="J165" s="2" t="s">
        <v>537</v>
      </c>
      <c r="K165" s="2" t="s">
        <v>2076</v>
      </c>
    </row>
    <row r="166" spans="1:13" ht="15" customHeight="1" x14ac:dyDescent="0.25">
      <c r="K166" s="2" t="s">
        <v>2076</v>
      </c>
    </row>
    <row r="167" spans="1:13" ht="15" customHeight="1" x14ac:dyDescent="0.25">
      <c r="A167" s="2" t="str">
        <f t="shared" si="0"/>
        <v>R167</v>
      </c>
      <c r="B167" s="2" t="s">
        <v>2420</v>
      </c>
      <c r="C167" s="2" t="s">
        <v>2042</v>
      </c>
      <c r="D167" s="2" t="s">
        <v>1628</v>
      </c>
      <c r="E167" s="2" t="s">
        <v>514</v>
      </c>
      <c r="F167" s="2" t="s">
        <v>746</v>
      </c>
      <c r="G167" s="2">
        <v>2504813103</v>
      </c>
      <c r="H167" s="2" t="s">
        <v>515</v>
      </c>
      <c r="I167" s="2" t="s">
        <v>516</v>
      </c>
      <c r="J167" s="2" t="s">
        <v>517</v>
      </c>
      <c r="K167" s="2" t="s">
        <v>2076</v>
      </c>
      <c r="M167" s="2">
        <v>1</v>
      </c>
    </row>
    <row r="168" spans="1:13" ht="15" customHeight="1" x14ac:dyDescent="0.25">
      <c r="A168" s="2" t="str">
        <f t="shared" si="0"/>
        <v/>
      </c>
      <c r="G168" s="2">
        <v>2504814009</v>
      </c>
      <c r="H168" s="2" t="s">
        <v>519</v>
      </c>
      <c r="I168" s="2" t="s">
        <v>520</v>
      </c>
      <c r="J168" s="2" t="s">
        <v>521</v>
      </c>
      <c r="K168" s="2" t="s">
        <v>2076</v>
      </c>
    </row>
    <row r="169" spans="1:13" ht="15" customHeight="1" x14ac:dyDescent="0.25">
      <c r="K169" s="2" t="s">
        <v>2076</v>
      </c>
    </row>
    <row r="170" spans="1:13" ht="15" customHeight="1" x14ac:dyDescent="0.25">
      <c r="A170" s="2" t="str">
        <f t="shared" si="0"/>
        <v>R170</v>
      </c>
      <c r="B170" s="2" t="s">
        <v>2421</v>
      </c>
      <c r="C170" s="2" t="s">
        <v>59</v>
      </c>
      <c r="D170" s="2" t="s">
        <v>545</v>
      </c>
      <c r="E170" s="2" t="s">
        <v>538</v>
      </c>
      <c r="F170" s="2" t="s">
        <v>776</v>
      </c>
      <c r="G170" s="2">
        <v>2504813281</v>
      </c>
      <c r="H170" s="2" t="s">
        <v>539</v>
      </c>
      <c r="I170" s="2" t="s">
        <v>540</v>
      </c>
      <c r="J170" s="2" t="s">
        <v>541</v>
      </c>
      <c r="K170" s="2" t="s">
        <v>2076</v>
      </c>
      <c r="M170" s="2">
        <v>1</v>
      </c>
    </row>
    <row r="171" spans="1:13" ht="15" customHeight="1" x14ac:dyDescent="0.25">
      <c r="A171" s="2" t="str">
        <f t="shared" si="0"/>
        <v/>
      </c>
      <c r="E171" s="2" t="s">
        <v>538</v>
      </c>
      <c r="G171" s="2">
        <v>2504814078</v>
      </c>
      <c r="H171" s="2" t="s">
        <v>542</v>
      </c>
      <c r="I171" s="2" t="s">
        <v>543</v>
      </c>
      <c r="J171" s="2" t="s">
        <v>544</v>
      </c>
      <c r="K171" s="2" t="s">
        <v>2076</v>
      </c>
    </row>
    <row r="172" spans="1:13" ht="15" customHeight="1" x14ac:dyDescent="0.25">
      <c r="K172" s="2" t="s">
        <v>2076</v>
      </c>
    </row>
    <row r="173" spans="1:13" ht="15" customHeight="1" x14ac:dyDescent="0.25">
      <c r="A173" s="2" t="str">
        <f t="shared" si="0"/>
        <v>R173</v>
      </c>
      <c r="B173" s="3" t="s">
        <v>2360</v>
      </c>
      <c r="C173" s="3" t="s">
        <v>57</v>
      </c>
      <c r="E173" s="2" t="s">
        <v>1955</v>
      </c>
      <c r="F173" s="2" t="s">
        <v>746</v>
      </c>
      <c r="G173" s="2">
        <v>2504813346</v>
      </c>
      <c r="H173" s="2" t="s">
        <v>1956</v>
      </c>
      <c r="I173" s="2" t="s">
        <v>1957</v>
      </c>
      <c r="J173" s="2" t="s">
        <v>1958</v>
      </c>
      <c r="K173" s="2" t="s">
        <v>2076</v>
      </c>
      <c r="M173" s="2">
        <v>3</v>
      </c>
    </row>
    <row r="174" spans="1:13" ht="15" customHeight="1" x14ac:dyDescent="0.25">
      <c r="A174" s="2" t="str">
        <f t="shared" si="0"/>
        <v/>
      </c>
      <c r="B174" s="3"/>
      <c r="C174" s="3" t="s">
        <v>2160</v>
      </c>
      <c r="D174" s="2" t="s">
        <v>1954</v>
      </c>
      <c r="G174" s="2">
        <v>2504814499</v>
      </c>
      <c r="H174" s="2" t="s">
        <v>1959</v>
      </c>
      <c r="I174" s="2" t="s">
        <v>1960</v>
      </c>
      <c r="J174" s="2" t="s">
        <v>1961</v>
      </c>
      <c r="K174" s="2" t="s">
        <v>2076</v>
      </c>
    </row>
    <row r="175" spans="1:13" ht="15" customHeight="1" x14ac:dyDescent="0.25">
      <c r="A175" s="2" t="str">
        <f t="shared" si="0"/>
        <v/>
      </c>
      <c r="B175" s="3"/>
      <c r="C175" s="2" t="s">
        <v>2161</v>
      </c>
      <c r="D175" s="2" t="s">
        <v>1962</v>
      </c>
      <c r="E175" s="2" t="s">
        <v>376</v>
      </c>
      <c r="K175" s="2" t="s">
        <v>2076</v>
      </c>
    </row>
    <row r="176" spans="1:13" ht="15" customHeight="1" x14ac:dyDescent="0.25">
      <c r="A176" s="2" t="str">
        <f t="shared" si="0"/>
        <v/>
      </c>
      <c r="B176" s="3"/>
      <c r="C176" s="2" t="s">
        <v>2162</v>
      </c>
      <c r="D176" s="2" t="s">
        <v>1963</v>
      </c>
      <c r="G176" s="2">
        <v>2504813181</v>
      </c>
      <c r="H176" s="2" t="s">
        <v>1964</v>
      </c>
      <c r="I176" s="2" t="s">
        <v>1965</v>
      </c>
      <c r="J176" s="2" t="s">
        <v>1966</v>
      </c>
      <c r="K176" s="2" t="s">
        <v>2076</v>
      </c>
    </row>
    <row r="177" spans="1:13" ht="15" customHeight="1" x14ac:dyDescent="0.25">
      <c r="A177" s="2" t="str">
        <f t="shared" si="0"/>
        <v/>
      </c>
      <c r="B177" s="3"/>
      <c r="C177" s="3"/>
      <c r="G177" s="2">
        <v>2504814526</v>
      </c>
      <c r="H177" s="2" t="s">
        <v>1967</v>
      </c>
      <c r="I177" s="2" t="s">
        <v>1968</v>
      </c>
      <c r="J177" s="2" t="s">
        <v>1969</v>
      </c>
      <c r="K177" s="2" t="s">
        <v>2076</v>
      </c>
    </row>
    <row r="178" spans="1:13" ht="15" customHeight="1" x14ac:dyDescent="0.25">
      <c r="B178" s="3"/>
      <c r="C178" s="3"/>
      <c r="K178" s="2" t="s">
        <v>2076</v>
      </c>
    </row>
    <row r="179" spans="1:13" ht="15" customHeight="1" x14ac:dyDescent="0.25">
      <c r="A179" s="2" t="str">
        <f t="shared" si="0"/>
        <v>R179</v>
      </c>
      <c r="B179" s="2" t="s">
        <v>2422</v>
      </c>
      <c r="C179" s="2" t="s">
        <v>65</v>
      </c>
      <c r="D179" s="2" t="s">
        <v>550</v>
      </c>
      <c r="E179" s="2" t="s">
        <v>546</v>
      </c>
      <c r="F179" s="2" t="s">
        <v>776</v>
      </c>
      <c r="G179" s="2">
        <v>2504814614</v>
      </c>
      <c r="H179" s="2" t="s">
        <v>547</v>
      </c>
      <c r="I179" s="2" t="s">
        <v>548</v>
      </c>
      <c r="J179" s="2" t="s">
        <v>549</v>
      </c>
      <c r="K179" s="2" t="s">
        <v>2076</v>
      </c>
      <c r="M179" s="2">
        <v>1</v>
      </c>
    </row>
    <row r="181" spans="1:13" ht="15" customHeight="1" x14ac:dyDescent="0.25">
      <c r="A181" s="2" t="str">
        <f t="shared" si="0"/>
        <v>R181</v>
      </c>
      <c r="B181" s="2" t="s">
        <v>2423</v>
      </c>
      <c r="C181" s="2" t="s">
        <v>71</v>
      </c>
      <c r="D181" s="2" t="s">
        <v>551</v>
      </c>
      <c r="E181" s="2" t="s">
        <v>376</v>
      </c>
      <c r="F181" s="2" t="s">
        <v>746</v>
      </c>
      <c r="K181" s="2" t="s">
        <v>2076</v>
      </c>
      <c r="M181" s="2">
        <v>1</v>
      </c>
    </row>
    <row r="183" spans="1:13" ht="15" customHeight="1" x14ac:dyDescent="0.25">
      <c r="A183" s="2" t="str">
        <f t="shared" si="0"/>
        <v>R183</v>
      </c>
      <c r="B183" s="2" t="s">
        <v>2424</v>
      </c>
      <c r="C183" s="2" t="s">
        <v>72</v>
      </c>
      <c r="D183" s="2" t="s">
        <v>552</v>
      </c>
      <c r="E183" s="2" t="s">
        <v>553</v>
      </c>
      <c r="F183" s="2" t="s">
        <v>746</v>
      </c>
      <c r="G183" s="2">
        <v>2504814618</v>
      </c>
      <c r="H183" s="2" t="s">
        <v>554</v>
      </c>
      <c r="I183" s="2" t="s">
        <v>555</v>
      </c>
      <c r="J183" s="2" t="s">
        <v>556</v>
      </c>
      <c r="K183" s="2" t="s">
        <v>2076</v>
      </c>
      <c r="M183" s="2">
        <v>1</v>
      </c>
    </row>
    <row r="185" spans="1:13" ht="15" customHeight="1" x14ac:dyDescent="0.25">
      <c r="A185" s="2" t="str">
        <f t="shared" si="0"/>
        <v>R185</v>
      </c>
      <c r="B185" s="2" t="s">
        <v>2425</v>
      </c>
      <c r="C185" s="2" t="s">
        <v>74</v>
      </c>
      <c r="D185" s="2" t="s">
        <v>557</v>
      </c>
      <c r="E185" s="2" t="s">
        <v>558</v>
      </c>
      <c r="F185" s="2" t="s">
        <v>776</v>
      </c>
      <c r="G185" s="2">
        <v>2504814616</v>
      </c>
      <c r="H185" s="2" t="s">
        <v>559</v>
      </c>
      <c r="I185" s="2" t="s">
        <v>560</v>
      </c>
      <c r="J185" s="2" t="s">
        <v>561</v>
      </c>
      <c r="K185" s="2" t="s">
        <v>2076</v>
      </c>
      <c r="M185" s="2">
        <v>1</v>
      </c>
    </row>
    <row r="187" spans="1:13" ht="15" customHeight="1" x14ac:dyDescent="0.25">
      <c r="A187" s="2" t="str">
        <f t="shared" si="0"/>
        <v>R187</v>
      </c>
      <c r="B187" s="2" t="s">
        <v>2426</v>
      </c>
      <c r="C187" s="2" t="s">
        <v>73</v>
      </c>
      <c r="D187" s="2" t="s">
        <v>562</v>
      </c>
      <c r="E187" s="2" t="s">
        <v>563</v>
      </c>
      <c r="F187" s="2" t="s">
        <v>746</v>
      </c>
      <c r="G187" s="2">
        <v>2504814617</v>
      </c>
      <c r="H187" s="2" t="s">
        <v>564</v>
      </c>
      <c r="I187" s="2" t="s">
        <v>565</v>
      </c>
      <c r="J187" s="2" t="s">
        <v>566</v>
      </c>
      <c r="K187" s="2" t="s">
        <v>2076</v>
      </c>
      <c r="M187" s="2">
        <v>1</v>
      </c>
    </row>
    <row r="188" spans="1:13" ht="15" customHeight="1" x14ac:dyDescent="0.25">
      <c r="A188" s="2" t="str">
        <f t="shared" si="0"/>
        <v/>
      </c>
      <c r="E188" s="2" t="s">
        <v>567</v>
      </c>
      <c r="G188" s="2">
        <v>2504814615</v>
      </c>
      <c r="H188" s="2" t="s">
        <v>568</v>
      </c>
      <c r="I188" s="2" t="s">
        <v>569</v>
      </c>
      <c r="J188" s="2" t="s">
        <v>570</v>
      </c>
      <c r="K188" s="2" t="s">
        <v>2076</v>
      </c>
    </row>
    <row r="190" spans="1:13" ht="15" customHeight="1" x14ac:dyDescent="0.25">
      <c r="A190" s="2" t="str">
        <f t="shared" si="0"/>
        <v>R190</v>
      </c>
      <c r="B190" s="2" t="s">
        <v>2427</v>
      </c>
      <c r="C190" s="2" t="s">
        <v>70</v>
      </c>
      <c r="D190" s="2" t="s">
        <v>571</v>
      </c>
      <c r="E190" s="2" t="s">
        <v>376</v>
      </c>
      <c r="F190" s="2" t="s">
        <v>746</v>
      </c>
      <c r="K190" s="2" t="s">
        <v>2076</v>
      </c>
      <c r="M190" s="2">
        <v>1</v>
      </c>
    </row>
    <row r="192" spans="1:13" ht="15" customHeight="1" x14ac:dyDescent="0.25">
      <c r="A192" s="2" t="str">
        <f t="shared" si="0"/>
        <v>R192</v>
      </c>
      <c r="B192" s="2" t="s">
        <v>2428</v>
      </c>
      <c r="C192" s="2" t="s">
        <v>69</v>
      </c>
      <c r="D192" s="2" t="s">
        <v>572</v>
      </c>
      <c r="E192" s="2" t="s">
        <v>376</v>
      </c>
      <c r="F192" s="2" t="s">
        <v>776</v>
      </c>
      <c r="K192" s="2" t="s">
        <v>2076</v>
      </c>
      <c r="M192" s="2">
        <v>1</v>
      </c>
    </row>
    <row r="194" spans="1:13" ht="15" customHeight="1" x14ac:dyDescent="0.25">
      <c r="A194" s="2" t="str">
        <f t="shared" si="0"/>
        <v>R194</v>
      </c>
      <c r="B194" s="2" t="s">
        <v>2429</v>
      </c>
      <c r="C194" s="2" t="s">
        <v>68</v>
      </c>
      <c r="D194" s="2" t="s">
        <v>573</v>
      </c>
      <c r="E194" s="2" t="s">
        <v>376</v>
      </c>
      <c r="F194" s="2" t="s">
        <v>746</v>
      </c>
      <c r="K194" s="2" t="s">
        <v>2076</v>
      </c>
      <c r="M194" s="2">
        <v>1</v>
      </c>
    </row>
    <row r="196" spans="1:13" ht="15" customHeight="1" x14ac:dyDescent="0.25">
      <c r="A196" s="2" t="str">
        <f t="shared" si="0"/>
        <v>R196</v>
      </c>
      <c r="B196" s="2" t="s">
        <v>2352</v>
      </c>
      <c r="C196" s="2" t="s">
        <v>67</v>
      </c>
      <c r="D196" s="2" t="s">
        <v>574</v>
      </c>
      <c r="E196" s="2" t="s">
        <v>376</v>
      </c>
      <c r="F196" s="2" t="s">
        <v>746</v>
      </c>
      <c r="K196" s="2" t="s">
        <v>2076</v>
      </c>
      <c r="M196" s="2">
        <v>1</v>
      </c>
    </row>
    <row r="198" spans="1:13" ht="15" customHeight="1" x14ac:dyDescent="0.25">
      <c r="A198" s="2" t="str">
        <f t="shared" si="0"/>
        <v>R198</v>
      </c>
      <c r="B198" s="2" t="s">
        <v>2430</v>
      </c>
      <c r="C198" s="2" t="s">
        <v>66</v>
      </c>
      <c r="E198" s="2" t="s">
        <v>376</v>
      </c>
      <c r="F198" s="2" t="s">
        <v>746</v>
      </c>
      <c r="K198" s="2" t="s">
        <v>2076</v>
      </c>
      <c r="M198" s="2">
        <v>1</v>
      </c>
    </row>
    <row r="200" spans="1:13" ht="15" customHeight="1" x14ac:dyDescent="0.25">
      <c r="A200" s="2" t="str">
        <f t="shared" si="0"/>
        <v>R200</v>
      </c>
      <c r="B200" s="2" t="s">
        <v>2431</v>
      </c>
      <c r="C200" s="2" t="s">
        <v>84</v>
      </c>
      <c r="D200" s="2" t="s">
        <v>575</v>
      </c>
      <c r="E200" s="2" t="s">
        <v>576</v>
      </c>
      <c r="F200" s="2" t="s">
        <v>746</v>
      </c>
      <c r="G200" s="2">
        <v>2504814241</v>
      </c>
      <c r="H200" s="2" t="s">
        <v>577</v>
      </c>
      <c r="I200" s="2" t="s">
        <v>578</v>
      </c>
      <c r="J200" s="2" t="s">
        <v>579</v>
      </c>
      <c r="K200" s="2" t="s">
        <v>2076</v>
      </c>
      <c r="M200" s="2">
        <v>1</v>
      </c>
    </row>
    <row r="201" spans="1:13" ht="15" customHeight="1" x14ac:dyDescent="0.25">
      <c r="A201" s="2" t="str">
        <f t="shared" si="0"/>
        <v/>
      </c>
      <c r="E201" s="2" t="s">
        <v>576</v>
      </c>
      <c r="G201" s="2">
        <v>2504814319</v>
      </c>
      <c r="H201" s="2" t="s">
        <v>580</v>
      </c>
      <c r="I201" s="2" t="s">
        <v>581</v>
      </c>
      <c r="J201" s="2" t="s">
        <v>582</v>
      </c>
      <c r="K201" s="2" t="s">
        <v>2076</v>
      </c>
    </row>
    <row r="203" spans="1:13" ht="15" customHeight="1" x14ac:dyDescent="0.25">
      <c r="A203" s="2" t="str">
        <f t="shared" si="0"/>
        <v>R203</v>
      </c>
      <c r="B203" s="2" t="s">
        <v>2432</v>
      </c>
      <c r="C203" s="2" t="s">
        <v>86</v>
      </c>
      <c r="D203" s="2" t="s">
        <v>583</v>
      </c>
      <c r="E203" s="2" t="s">
        <v>584</v>
      </c>
      <c r="F203" s="2" t="s">
        <v>746</v>
      </c>
      <c r="G203" s="2">
        <v>2504814242</v>
      </c>
      <c r="H203" s="2" t="s">
        <v>585</v>
      </c>
      <c r="I203" s="2" t="s">
        <v>586</v>
      </c>
      <c r="J203" s="2" t="s">
        <v>587</v>
      </c>
      <c r="K203" s="2" t="s">
        <v>2076</v>
      </c>
      <c r="M203" s="2">
        <v>1</v>
      </c>
    </row>
    <row r="205" spans="1:13" ht="15" customHeight="1" x14ac:dyDescent="0.25">
      <c r="A205" s="2" t="str">
        <f t="shared" si="0"/>
        <v>R205</v>
      </c>
      <c r="B205" s="2" t="s">
        <v>588</v>
      </c>
      <c r="C205" s="2" t="s">
        <v>87</v>
      </c>
      <c r="D205" s="2" t="s">
        <v>592</v>
      </c>
      <c r="E205" s="2" t="s">
        <v>429</v>
      </c>
      <c r="F205" s="2" t="s">
        <v>746</v>
      </c>
      <c r="G205" s="2">
        <v>2504814243</v>
      </c>
      <c r="H205" s="2" t="s">
        <v>589</v>
      </c>
      <c r="I205" s="2" t="s">
        <v>590</v>
      </c>
      <c r="J205" s="2" t="s">
        <v>591</v>
      </c>
      <c r="K205" s="2" t="s">
        <v>2076</v>
      </c>
      <c r="M205" s="2">
        <v>1</v>
      </c>
    </row>
    <row r="207" spans="1:13" ht="15" customHeight="1" x14ac:dyDescent="0.25">
      <c r="A207" s="2" t="str">
        <f t="shared" si="0"/>
        <v>R207</v>
      </c>
      <c r="B207" s="2" t="s">
        <v>2433</v>
      </c>
      <c r="C207" s="2" t="s">
        <v>85</v>
      </c>
      <c r="D207" s="2" t="s">
        <v>593</v>
      </c>
      <c r="E207" s="2" t="s">
        <v>594</v>
      </c>
      <c r="F207" s="2" t="s">
        <v>746</v>
      </c>
      <c r="G207" s="2">
        <v>2504814244</v>
      </c>
      <c r="H207" s="2" t="s">
        <v>595</v>
      </c>
      <c r="I207" s="2" t="s">
        <v>596</v>
      </c>
      <c r="J207" s="2" t="s">
        <v>597</v>
      </c>
      <c r="K207" s="2" t="s">
        <v>2076</v>
      </c>
      <c r="M207" s="2">
        <v>1</v>
      </c>
    </row>
    <row r="209" spans="1:13" ht="15" customHeight="1" x14ac:dyDescent="0.25">
      <c r="A209" s="2" t="str">
        <f t="shared" si="0"/>
        <v>R209</v>
      </c>
      <c r="B209" s="2" t="s">
        <v>2434</v>
      </c>
      <c r="C209" s="2" t="s">
        <v>83</v>
      </c>
      <c r="D209" s="2" t="s">
        <v>602</v>
      </c>
      <c r="E209" s="2" t="s">
        <v>598</v>
      </c>
      <c r="F209" s="2" t="s">
        <v>746</v>
      </c>
      <c r="G209" s="2">
        <v>2504814245</v>
      </c>
      <c r="H209" s="2" t="s">
        <v>599</v>
      </c>
      <c r="I209" s="2" t="s">
        <v>600</v>
      </c>
      <c r="J209" s="2" t="s">
        <v>601</v>
      </c>
      <c r="K209" s="2" t="s">
        <v>2076</v>
      </c>
      <c r="M209" s="2">
        <v>1</v>
      </c>
    </row>
    <row r="211" spans="1:13" ht="15" customHeight="1" x14ac:dyDescent="0.25">
      <c r="A211" s="2" t="str">
        <f>IF(EXACT(F211,"N"),CONCATENATE("R",ROW()),IF(EXACT(F211,"Y"),CONCATENATE("R",ROW()),""))</f>
        <v>R211</v>
      </c>
      <c r="B211" s="2" t="s">
        <v>2435</v>
      </c>
      <c r="C211" s="2" t="s">
        <v>108</v>
      </c>
      <c r="D211" s="2" t="s">
        <v>603</v>
      </c>
      <c r="E211" s="2" t="s">
        <v>610</v>
      </c>
      <c r="F211" s="2" t="s">
        <v>746</v>
      </c>
      <c r="G211" s="2">
        <v>2504813146</v>
      </c>
      <c r="H211" s="2" t="s">
        <v>611</v>
      </c>
      <c r="I211" s="2" t="s">
        <v>612</v>
      </c>
      <c r="J211" s="2" t="s">
        <v>613</v>
      </c>
      <c r="K211" s="2" t="s">
        <v>2076</v>
      </c>
      <c r="M211" s="2">
        <v>1</v>
      </c>
    </row>
    <row r="213" spans="1:13" ht="15" customHeight="1" x14ac:dyDescent="0.25">
      <c r="A213" s="2" t="str">
        <f>IF(EXACT(F213,"N"),CONCATENATE("R",ROW()),IF(EXACT(F213,"Y"),CONCATENATE("R",ROW()),""))</f>
        <v>R213</v>
      </c>
      <c r="B213" s="2" t="s">
        <v>2436</v>
      </c>
      <c r="C213" s="2" t="s">
        <v>111</v>
      </c>
      <c r="D213" s="2" t="s">
        <v>604</v>
      </c>
      <c r="E213" s="2" t="s">
        <v>614</v>
      </c>
      <c r="F213" s="2" t="s">
        <v>746</v>
      </c>
      <c r="G213" s="2">
        <v>2504813145</v>
      </c>
      <c r="H213" s="2" t="s">
        <v>615</v>
      </c>
      <c r="I213" s="2" t="s">
        <v>616</v>
      </c>
      <c r="J213" s="2" t="s">
        <v>617</v>
      </c>
      <c r="K213" s="2" t="s">
        <v>2076</v>
      </c>
      <c r="M213" s="2">
        <v>1</v>
      </c>
    </row>
    <row r="215" spans="1:13" ht="15" customHeight="1" x14ac:dyDescent="0.25">
      <c r="A215" s="2" t="str">
        <f>IF(EXACT(F215,"N"),CONCATENATE("R",ROW()),IF(EXACT(F215,"Y"),CONCATENATE("R",ROW()),""))</f>
        <v>R215</v>
      </c>
      <c r="B215" s="2" t="s">
        <v>618</v>
      </c>
      <c r="C215" s="2" t="s">
        <v>112</v>
      </c>
      <c r="D215" s="2" t="s">
        <v>605</v>
      </c>
      <c r="E215" s="2" t="s">
        <v>619</v>
      </c>
      <c r="F215" s="2" t="s">
        <v>746</v>
      </c>
      <c r="G215" s="2">
        <v>2504814679</v>
      </c>
      <c r="H215" s="2" t="s">
        <v>620</v>
      </c>
      <c r="I215" s="2" t="s">
        <v>621</v>
      </c>
      <c r="J215" s="2" t="s">
        <v>622</v>
      </c>
      <c r="K215" s="2" t="s">
        <v>2076</v>
      </c>
      <c r="M215" s="2">
        <v>1</v>
      </c>
    </row>
    <row r="217" spans="1:13" ht="15" customHeight="1" x14ac:dyDescent="0.25">
      <c r="A217" s="2" t="str">
        <f>IF(EXACT(F217,"N"),CONCATENATE("R",ROW()),IF(EXACT(F217,"Y"),CONCATENATE("R",ROW()),""))</f>
        <v>R217</v>
      </c>
      <c r="B217" s="2" t="s">
        <v>2437</v>
      </c>
      <c r="C217" s="2" t="s">
        <v>110</v>
      </c>
      <c r="D217" s="2" t="s">
        <v>606</v>
      </c>
      <c r="E217" s="2" t="s">
        <v>623</v>
      </c>
      <c r="F217" s="2" t="s">
        <v>746</v>
      </c>
      <c r="G217" s="2">
        <v>2504813144</v>
      </c>
      <c r="H217" s="2" t="s">
        <v>624</v>
      </c>
      <c r="I217" s="2" t="s">
        <v>625</v>
      </c>
      <c r="J217" s="2" t="s">
        <v>626</v>
      </c>
      <c r="K217" s="2" t="s">
        <v>2076</v>
      </c>
      <c r="M217" s="2">
        <v>1</v>
      </c>
    </row>
    <row r="219" spans="1:13" ht="15" customHeight="1" x14ac:dyDescent="0.25">
      <c r="A219" s="2" t="str">
        <f>IF(EXACT(F219,"N"),CONCATENATE("R",ROW()),IF(EXACT(F219,"Y"),CONCATENATE("R",ROW()),""))</f>
        <v>R219</v>
      </c>
      <c r="B219" s="2" t="s">
        <v>2438</v>
      </c>
      <c r="C219" s="2" t="s">
        <v>109</v>
      </c>
      <c r="D219" s="2" t="s">
        <v>607</v>
      </c>
      <c r="E219" s="2" t="s">
        <v>627</v>
      </c>
      <c r="F219" s="2" t="s">
        <v>746</v>
      </c>
      <c r="G219" s="2">
        <v>2504813143</v>
      </c>
      <c r="H219" s="2" t="s">
        <v>628</v>
      </c>
      <c r="I219" s="2" t="s">
        <v>629</v>
      </c>
      <c r="J219" s="2" t="s">
        <v>630</v>
      </c>
      <c r="K219" s="2" t="s">
        <v>2076</v>
      </c>
      <c r="M219" s="2">
        <v>1</v>
      </c>
    </row>
    <row r="221" spans="1:13" ht="15" customHeight="1" x14ac:dyDescent="0.25">
      <c r="A221" s="2" t="str">
        <f>IF(EXACT(F221,"N"),CONCATENATE("R",ROW()),IF(EXACT(F221,"Y"),CONCATENATE("R",ROW()),""))</f>
        <v>R221</v>
      </c>
      <c r="B221" s="2" t="s">
        <v>2439</v>
      </c>
      <c r="C221" s="2" t="s">
        <v>113</v>
      </c>
      <c r="D221" s="2" t="s">
        <v>608</v>
      </c>
      <c r="E221" s="2" t="s">
        <v>631</v>
      </c>
      <c r="F221" s="2" t="s">
        <v>746</v>
      </c>
      <c r="G221" s="2">
        <v>2504813142</v>
      </c>
      <c r="H221" s="2" t="s">
        <v>632</v>
      </c>
      <c r="I221" s="2" t="s">
        <v>633</v>
      </c>
      <c r="J221" s="2" t="s">
        <v>634</v>
      </c>
      <c r="K221" s="2" t="s">
        <v>2076</v>
      </c>
      <c r="M221" s="2">
        <v>1</v>
      </c>
    </row>
    <row r="223" spans="1:13" ht="15" customHeight="1" x14ac:dyDescent="0.25">
      <c r="A223" s="2" t="str">
        <f>IF(EXACT(F223,"N"),CONCATENATE("R",ROW()),IF(EXACT(F223,"Y"),CONCATENATE("R",ROW()),""))</f>
        <v>R223</v>
      </c>
      <c r="B223" s="2" t="s">
        <v>2440</v>
      </c>
      <c r="C223" s="2" t="s">
        <v>105</v>
      </c>
      <c r="D223" s="2" t="s">
        <v>609</v>
      </c>
      <c r="E223" s="2" t="s">
        <v>635</v>
      </c>
      <c r="F223" s="2" t="s">
        <v>746</v>
      </c>
      <c r="G223" s="2">
        <v>2504813141</v>
      </c>
      <c r="H223" s="2" t="s">
        <v>636</v>
      </c>
      <c r="I223" s="2" t="s">
        <v>637</v>
      </c>
      <c r="J223" s="2" t="s">
        <v>638</v>
      </c>
      <c r="K223" s="2" t="s">
        <v>2076</v>
      </c>
      <c r="M223" s="2">
        <v>1</v>
      </c>
    </row>
    <row r="225" spans="1:13" ht="15" customHeight="1" x14ac:dyDescent="0.25">
      <c r="A225" s="2" t="str">
        <f>IF(EXACT(F225,"N"),CONCATENATE("R",ROW()),IF(EXACT(F225,"Y"),CONCATENATE("R",ROW()),""))</f>
        <v>R225</v>
      </c>
      <c r="B225" s="2" t="s">
        <v>2441</v>
      </c>
      <c r="C225" s="2" t="s">
        <v>102</v>
      </c>
      <c r="D225" s="2" t="s">
        <v>643</v>
      </c>
      <c r="E225" s="2" t="s">
        <v>639</v>
      </c>
      <c r="F225" s="2" t="s">
        <v>746</v>
      </c>
      <c r="G225" s="2">
        <v>2504813154</v>
      </c>
      <c r="H225" s="2" t="s">
        <v>640</v>
      </c>
      <c r="I225" s="2" t="s">
        <v>641</v>
      </c>
      <c r="J225" s="2" t="s">
        <v>642</v>
      </c>
      <c r="K225" s="2" t="s">
        <v>2076</v>
      </c>
      <c r="M225" s="2">
        <v>1</v>
      </c>
    </row>
    <row r="227" spans="1:13" ht="15" customHeight="1" x14ac:dyDescent="0.25">
      <c r="A227" s="2" t="str">
        <f>IF(EXACT(F227,"N"),CONCATENATE("R",ROW()),IF(EXACT(F227,"Y"),CONCATENATE("R",ROW()),""))</f>
        <v>R227</v>
      </c>
      <c r="B227" s="2" t="s">
        <v>2442</v>
      </c>
      <c r="C227" s="2" t="s">
        <v>103</v>
      </c>
      <c r="D227" s="2" t="s">
        <v>644</v>
      </c>
      <c r="E227" s="2" t="s">
        <v>648</v>
      </c>
      <c r="F227" s="2" t="s">
        <v>746</v>
      </c>
      <c r="G227" s="2">
        <v>2504813153</v>
      </c>
      <c r="H227" s="2" t="s">
        <v>649</v>
      </c>
      <c r="I227" s="2" t="s">
        <v>650</v>
      </c>
      <c r="J227" s="2" t="s">
        <v>651</v>
      </c>
      <c r="K227" s="2" t="s">
        <v>2076</v>
      </c>
      <c r="M227" s="2">
        <v>1</v>
      </c>
    </row>
    <row r="229" spans="1:13" ht="15" customHeight="1" x14ac:dyDescent="0.25">
      <c r="A229" s="2" t="str">
        <f>IF(EXACT(F229,"N"),CONCATENATE("R",ROW()),IF(EXACT(F229,"Y"),CONCATENATE("R",ROW()),""))</f>
        <v>R229</v>
      </c>
      <c r="B229" s="2" t="s">
        <v>2443</v>
      </c>
      <c r="C229" s="2" t="s">
        <v>115</v>
      </c>
      <c r="D229" s="2" t="s">
        <v>645</v>
      </c>
      <c r="E229" s="2" t="s">
        <v>652</v>
      </c>
      <c r="F229" s="2" t="s">
        <v>746</v>
      </c>
      <c r="G229" s="2">
        <v>2504813151</v>
      </c>
      <c r="H229" s="2" t="s">
        <v>653</v>
      </c>
      <c r="I229" s="2" t="s">
        <v>654</v>
      </c>
      <c r="J229" s="2" t="s">
        <v>655</v>
      </c>
      <c r="K229" s="2" t="s">
        <v>2076</v>
      </c>
      <c r="M229" s="2">
        <v>1</v>
      </c>
    </row>
    <row r="231" spans="1:13" ht="15" customHeight="1" x14ac:dyDescent="0.25">
      <c r="A231" s="2" t="str">
        <f>IF(EXACT(F231,"N"),CONCATENATE("R",ROW()),IF(EXACT(F231,"Y"),CONCATENATE("R",ROW()),""))</f>
        <v>R231</v>
      </c>
      <c r="B231" s="2" t="s">
        <v>2444</v>
      </c>
      <c r="C231" s="2" t="s">
        <v>114</v>
      </c>
      <c r="D231" s="2" t="s">
        <v>646</v>
      </c>
      <c r="E231" s="2" t="s">
        <v>656</v>
      </c>
      <c r="F231" s="2" t="s">
        <v>746</v>
      </c>
      <c r="G231" s="2">
        <v>2504813152</v>
      </c>
      <c r="H231" s="2" t="s">
        <v>657</v>
      </c>
      <c r="I231" s="2" t="s">
        <v>658</v>
      </c>
      <c r="J231" s="2" t="s">
        <v>659</v>
      </c>
      <c r="K231" s="2" t="s">
        <v>2076</v>
      </c>
      <c r="M231" s="2">
        <v>1</v>
      </c>
    </row>
    <row r="233" spans="1:13" ht="15" customHeight="1" x14ac:dyDescent="0.25">
      <c r="A233" s="2" t="str">
        <f>IF(EXACT(F233,"N"),CONCATENATE("R",ROW()),IF(EXACT(F233,"Y"),CONCATENATE("R",ROW()),""))</f>
        <v>R233</v>
      </c>
      <c r="B233" s="2" t="s">
        <v>2445</v>
      </c>
      <c r="C233" s="2" t="s">
        <v>189</v>
      </c>
      <c r="D233" s="2" t="s">
        <v>647</v>
      </c>
      <c r="E233" s="2" t="s">
        <v>660</v>
      </c>
      <c r="F233" s="2" t="s">
        <v>746</v>
      </c>
      <c r="G233" s="2">
        <v>2504813149</v>
      </c>
      <c r="H233" s="2" t="s">
        <v>661</v>
      </c>
      <c r="I233" s="2" t="s">
        <v>662</v>
      </c>
      <c r="J233" s="2" t="s">
        <v>663</v>
      </c>
      <c r="K233" s="2" t="s">
        <v>2076</v>
      </c>
      <c r="M233" s="2">
        <v>1</v>
      </c>
    </row>
    <row r="235" spans="1:13" ht="15" customHeight="1" x14ac:dyDescent="0.25">
      <c r="A235" s="2" t="str">
        <f>IF(EXACT(F235,"N"),CONCATENATE("R",ROW()),IF(EXACT(F235,"Y"),CONCATENATE("R",ROW()),""))</f>
        <v>R235</v>
      </c>
      <c r="B235" s="2" t="s">
        <v>2446</v>
      </c>
      <c r="C235" s="2" t="s">
        <v>188</v>
      </c>
      <c r="D235" s="2" t="s">
        <v>647</v>
      </c>
      <c r="E235" s="2" t="s">
        <v>664</v>
      </c>
      <c r="F235" s="2" t="s">
        <v>746</v>
      </c>
      <c r="G235" s="2">
        <v>2504813150</v>
      </c>
      <c r="H235" s="2" t="s">
        <v>665</v>
      </c>
      <c r="I235" s="2" t="s">
        <v>666</v>
      </c>
      <c r="J235" s="2" t="s">
        <v>667</v>
      </c>
      <c r="K235" s="2" t="s">
        <v>2076</v>
      </c>
      <c r="M235" s="2">
        <v>1</v>
      </c>
    </row>
    <row r="236" spans="1:13" ht="15" customHeight="1" x14ac:dyDescent="0.25">
      <c r="A236" s="2" t="str">
        <f>IF(EXACT(F236,"N"),CONCATENATE("R",ROW()),IF(EXACT(F236,"Y"),CONCATENATE("R",ROW()),""))</f>
        <v/>
      </c>
      <c r="E236" s="2" t="s">
        <v>668</v>
      </c>
      <c r="G236" s="2">
        <v>2504813618</v>
      </c>
      <c r="H236" s="2" t="s">
        <v>669</v>
      </c>
      <c r="I236" s="2" t="s">
        <v>670</v>
      </c>
      <c r="J236" s="2" t="s">
        <v>671</v>
      </c>
      <c r="K236" s="2" t="s">
        <v>2076</v>
      </c>
    </row>
    <row r="238" spans="1:13" ht="15" customHeight="1" x14ac:dyDescent="0.25">
      <c r="A238" s="2" t="str">
        <f>IF(EXACT(F238,"N"),CONCATENATE("R",ROW()),IF(EXACT(F238,"Y"),CONCATENATE("R",ROW()),""))</f>
        <v>R238</v>
      </c>
      <c r="B238" s="2" t="s">
        <v>2447</v>
      </c>
      <c r="C238" s="2" t="s">
        <v>106</v>
      </c>
      <c r="D238" s="2" t="s">
        <v>672</v>
      </c>
      <c r="E238" s="2" t="s">
        <v>673</v>
      </c>
      <c r="F238" s="2" t="s">
        <v>746</v>
      </c>
      <c r="G238" s="2">
        <v>2504813140</v>
      </c>
      <c r="H238" s="2" t="s">
        <v>674</v>
      </c>
      <c r="I238" s="2" t="s">
        <v>675</v>
      </c>
      <c r="J238" s="2" t="s">
        <v>676</v>
      </c>
      <c r="K238" s="2" t="s">
        <v>2076</v>
      </c>
      <c r="M238" s="2">
        <v>1</v>
      </c>
    </row>
    <row r="240" spans="1:13" ht="15" customHeight="1" x14ac:dyDescent="0.25">
      <c r="A240" s="2" t="str">
        <f>IF(EXACT(F240,"N"),CONCATENATE("R",ROW()),IF(EXACT(F240,"Y"),CONCATENATE("R",ROW()),""))</f>
        <v>R240</v>
      </c>
      <c r="B240" s="2" t="s">
        <v>2448</v>
      </c>
      <c r="C240" s="2" t="s">
        <v>104</v>
      </c>
      <c r="D240" s="2" t="s">
        <v>677</v>
      </c>
      <c r="E240" s="2" t="s">
        <v>678</v>
      </c>
      <c r="F240" s="2" t="s">
        <v>746</v>
      </c>
      <c r="G240" s="2">
        <v>2504813200</v>
      </c>
      <c r="H240" s="2" t="s">
        <v>679</v>
      </c>
      <c r="I240" s="2" t="s">
        <v>680</v>
      </c>
      <c r="J240" s="2" t="s">
        <v>681</v>
      </c>
      <c r="K240" s="2" t="s">
        <v>2076</v>
      </c>
      <c r="M240" s="2">
        <v>1</v>
      </c>
    </row>
    <row r="242" spans="1:13" ht="15" customHeight="1" x14ac:dyDescent="0.25">
      <c r="A242" s="2" t="str">
        <f>IF(EXACT(F242,"N"),CONCATENATE("R",ROW()),IF(EXACT(F242,"Y"),CONCATENATE("R",ROW()),""))</f>
        <v>R242</v>
      </c>
      <c r="B242" s="2" t="s">
        <v>2449</v>
      </c>
      <c r="C242" s="2" t="s">
        <v>100</v>
      </c>
      <c r="D242" s="2" t="s">
        <v>428</v>
      </c>
      <c r="E242" s="2" t="s">
        <v>429</v>
      </c>
      <c r="F242" s="2" t="s">
        <v>776</v>
      </c>
      <c r="G242" s="2">
        <v>2504813541</v>
      </c>
      <c r="H242" s="2" t="s">
        <v>430</v>
      </c>
      <c r="I242" s="2" t="s">
        <v>682</v>
      </c>
      <c r="J242" s="2" t="s">
        <v>683</v>
      </c>
      <c r="K242" s="2" t="s">
        <v>2076</v>
      </c>
      <c r="M242" s="2">
        <v>1</v>
      </c>
    </row>
    <row r="243" spans="1:13" ht="15" customHeight="1" x14ac:dyDescent="0.25">
      <c r="A243" s="2" t="str">
        <f>IF(EXACT(F243,"N"),CONCATENATE("R",ROW()),IF(EXACT(F243,"Y"),CONCATENATE("R",ROW()),""))</f>
        <v/>
      </c>
      <c r="E243" s="2" t="s">
        <v>429</v>
      </c>
      <c r="G243" s="2">
        <v>2504813847</v>
      </c>
      <c r="H243" s="2" t="s">
        <v>433</v>
      </c>
      <c r="I243" s="2" t="s">
        <v>434</v>
      </c>
      <c r="J243" s="2" t="s">
        <v>684</v>
      </c>
      <c r="K243" s="2" t="s">
        <v>2076</v>
      </c>
    </row>
    <row r="245" spans="1:13" ht="15" customHeight="1" x14ac:dyDescent="0.25">
      <c r="A245" s="2" t="str">
        <f>IF(EXACT(F245,"N"),CONCATENATE("R",ROW()),IF(EXACT(F245,"Y"),CONCATENATE("R",ROW()),""))</f>
        <v>R245</v>
      </c>
      <c r="B245" s="2" t="s">
        <v>2450</v>
      </c>
      <c r="C245" s="2" t="s">
        <v>107</v>
      </c>
      <c r="D245" s="2" t="s">
        <v>685</v>
      </c>
      <c r="E245" s="2" t="s">
        <v>686</v>
      </c>
      <c r="F245" s="2" t="s">
        <v>746</v>
      </c>
      <c r="G245" s="2">
        <v>2504813139</v>
      </c>
      <c r="H245" s="2" t="s">
        <v>687</v>
      </c>
      <c r="I245" s="2" t="s">
        <v>688</v>
      </c>
      <c r="J245" s="2" t="s">
        <v>689</v>
      </c>
      <c r="K245" s="2" t="s">
        <v>2076</v>
      </c>
      <c r="M245" s="2">
        <v>1</v>
      </c>
    </row>
    <row r="247" spans="1:13" ht="15" customHeight="1" x14ac:dyDescent="0.25">
      <c r="A247" s="2" t="str">
        <f>IF(EXACT(F247,"N"),CONCATENATE("R",ROW()),IF(EXACT(F247,"Y"),CONCATENATE("R",ROW()),""))</f>
        <v>R247</v>
      </c>
      <c r="B247" s="2" t="s">
        <v>2451</v>
      </c>
      <c r="C247" s="2" t="s">
        <v>101</v>
      </c>
      <c r="D247" s="2" t="s">
        <v>428</v>
      </c>
      <c r="E247" s="2" t="s">
        <v>429</v>
      </c>
      <c r="F247" s="2" t="s">
        <v>776</v>
      </c>
      <c r="G247" s="2">
        <v>2504813541</v>
      </c>
      <c r="H247" s="2" t="s">
        <v>430</v>
      </c>
      <c r="I247" s="2" t="s">
        <v>682</v>
      </c>
      <c r="J247" s="2" t="s">
        <v>683</v>
      </c>
      <c r="K247" s="2" t="s">
        <v>2076</v>
      </c>
      <c r="M247" s="2">
        <v>1</v>
      </c>
    </row>
    <row r="248" spans="1:13" ht="15" customHeight="1" x14ac:dyDescent="0.25">
      <c r="A248" s="2" t="str">
        <f>IF(EXACT(F248,"N"),CONCATENATE("R",ROW()),IF(EXACT(F248,"Y"),CONCATENATE("R",ROW()),""))</f>
        <v/>
      </c>
      <c r="E248" s="2" t="s">
        <v>429</v>
      </c>
      <c r="G248" s="2">
        <v>2504813847</v>
      </c>
      <c r="H248" s="2" t="s">
        <v>433</v>
      </c>
      <c r="I248" s="2" t="s">
        <v>434</v>
      </c>
      <c r="J248" s="2" t="s">
        <v>684</v>
      </c>
      <c r="K248" s="2" t="s">
        <v>2076</v>
      </c>
    </row>
    <row r="250" spans="1:13" ht="15" customHeight="1" x14ac:dyDescent="0.25">
      <c r="A250" s="2" t="str">
        <f>IF(EXACT(F250,"N"),CONCATENATE("R",ROW()),IF(EXACT(F250,"Y"),CONCATENATE("R",ROW()),""))</f>
        <v>R250</v>
      </c>
      <c r="B250" s="2" t="s">
        <v>2452</v>
      </c>
      <c r="C250" s="2" t="s">
        <v>27</v>
      </c>
      <c r="D250" s="2" t="s">
        <v>690</v>
      </c>
      <c r="E250" s="2" t="s">
        <v>696</v>
      </c>
      <c r="F250" s="2" t="s">
        <v>746</v>
      </c>
      <c r="G250" s="2">
        <v>2504813075</v>
      </c>
      <c r="H250" s="2" t="s">
        <v>697</v>
      </c>
      <c r="I250" s="2" t="s">
        <v>698</v>
      </c>
      <c r="J250" s="2" t="s">
        <v>699</v>
      </c>
      <c r="K250" s="2" t="s">
        <v>2076</v>
      </c>
      <c r="M250" s="2">
        <v>1</v>
      </c>
    </row>
    <row r="251" spans="1:13" ht="15" customHeight="1" x14ac:dyDescent="0.25">
      <c r="A251" s="2" t="str">
        <f>IF(EXACT(F251,"N"),CONCATENATE("R",ROW()),IF(EXACT(F251,"Y"),CONCATENATE("R",ROW()),""))</f>
        <v/>
      </c>
      <c r="E251" s="2" t="s">
        <v>700</v>
      </c>
      <c r="G251" s="2">
        <v>2504813076</v>
      </c>
      <c r="H251" s="2" t="s">
        <v>701</v>
      </c>
      <c r="I251" s="2" t="s">
        <v>702</v>
      </c>
      <c r="J251" s="2" t="s">
        <v>703</v>
      </c>
      <c r="K251" s="2" t="s">
        <v>2076</v>
      </c>
    </row>
    <row r="252" spans="1:13" ht="15" customHeight="1" x14ac:dyDescent="0.25">
      <c r="A252" s="2" t="str">
        <f>IF(EXACT(F252,"N"),CONCATENATE("R",ROW()),IF(EXACT(F252,"Y"),CONCATENATE("R",ROW()),""))</f>
        <v/>
      </c>
      <c r="E252" s="2" t="s">
        <v>700</v>
      </c>
      <c r="G252" s="2">
        <v>2504814612</v>
      </c>
      <c r="H252" s="2" t="s">
        <v>704</v>
      </c>
      <c r="I252" s="2" t="s">
        <v>705</v>
      </c>
      <c r="J252" s="2" t="s">
        <v>706</v>
      </c>
      <c r="K252" s="2" t="s">
        <v>2076</v>
      </c>
    </row>
    <row r="254" spans="1:13" ht="15" customHeight="1" x14ac:dyDescent="0.25">
      <c r="A254" s="2" t="str">
        <f>IF(EXACT(F254,"N"),CONCATENATE("R",ROW()),IF(EXACT(F254,"Y"),CONCATENATE("R",ROW()),""))</f>
        <v>R254</v>
      </c>
      <c r="B254" s="2" t="s">
        <v>2453</v>
      </c>
      <c r="C254" s="2" t="s">
        <v>33</v>
      </c>
      <c r="D254" s="2" t="s">
        <v>691</v>
      </c>
      <c r="E254" s="2" t="s">
        <v>707</v>
      </c>
      <c r="F254" s="2" t="s">
        <v>746</v>
      </c>
      <c r="G254" s="2">
        <v>2504813074</v>
      </c>
      <c r="H254" s="2" t="s">
        <v>708</v>
      </c>
      <c r="I254" s="2" t="s">
        <v>709</v>
      </c>
      <c r="J254" s="2" t="s">
        <v>710</v>
      </c>
      <c r="K254" s="2" t="s">
        <v>2076</v>
      </c>
      <c r="M254" s="2">
        <v>1</v>
      </c>
    </row>
    <row r="256" spans="1:13" ht="15" customHeight="1" x14ac:dyDescent="0.25">
      <c r="A256" s="2" t="str">
        <f>IF(EXACT(F256,"N"),CONCATENATE("R",ROW()),IF(EXACT(F256,"Y"),CONCATENATE("R",ROW()),""))</f>
        <v>R256</v>
      </c>
      <c r="B256" s="2" t="s">
        <v>2454</v>
      </c>
      <c r="C256" s="2" t="s">
        <v>34</v>
      </c>
      <c r="D256" s="2" t="s">
        <v>692</v>
      </c>
      <c r="E256" s="2" t="s">
        <v>711</v>
      </c>
      <c r="F256" s="2" t="s">
        <v>746</v>
      </c>
      <c r="G256" s="2">
        <v>2504814645</v>
      </c>
      <c r="H256" s="2" t="s">
        <v>712</v>
      </c>
      <c r="I256" s="2" t="s">
        <v>713</v>
      </c>
      <c r="J256" s="2" t="s">
        <v>714</v>
      </c>
      <c r="K256" s="2" t="s">
        <v>2076</v>
      </c>
      <c r="M256" s="2">
        <v>1</v>
      </c>
    </row>
    <row r="258" spans="1:13" ht="15" customHeight="1" x14ac:dyDescent="0.25">
      <c r="A258" s="2" t="str">
        <f>IF(EXACT(F258,"N"),CONCATENATE("R",ROW()),IF(EXACT(F258,"Y"),CONCATENATE("R",ROW()),""))</f>
        <v>R258</v>
      </c>
      <c r="B258" s="2" t="s">
        <v>2455</v>
      </c>
      <c r="C258" s="2" t="s">
        <v>26</v>
      </c>
      <c r="D258" s="2" t="s">
        <v>2250</v>
      </c>
      <c r="E258" s="2" t="s">
        <v>715</v>
      </c>
      <c r="F258" s="2" t="s">
        <v>776</v>
      </c>
      <c r="G258" s="2">
        <v>2504812947</v>
      </c>
      <c r="H258" s="2" t="s">
        <v>716</v>
      </c>
      <c r="I258" s="2" t="s">
        <v>717</v>
      </c>
      <c r="J258" s="2" t="s">
        <v>718</v>
      </c>
      <c r="K258" s="2" t="s">
        <v>2076</v>
      </c>
      <c r="M258" s="2">
        <v>1</v>
      </c>
    </row>
    <row r="259" spans="1:13" ht="15" customHeight="1" x14ac:dyDescent="0.25">
      <c r="A259" s="2" t="str">
        <f>IF(EXACT(F259,"N"),CONCATENATE("R",ROW()),IF(EXACT(F259,"Y"),CONCATENATE("R",ROW()),""))</f>
        <v/>
      </c>
      <c r="E259" s="2" t="s">
        <v>715</v>
      </c>
      <c r="G259" s="2">
        <v>2504814354</v>
      </c>
      <c r="H259" s="2" t="s">
        <v>719</v>
      </c>
      <c r="I259" s="2" t="s">
        <v>720</v>
      </c>
      <c r="J259" s="2" t="s">
        <v>721</v>
      </c>
      <c r="K259" s="2" t="s">
        <v>2076</v>
      </c>
    </row>
    <row r="260" spans="1:13" ht="15" customHeight="1" x14ac:dyDescent="0.25">
      <c r="A260" s="2" t="str">
        <f>IF(EXACT(F260,"N"),CONCATENATE("R",ROW()),IF(EXACT(F260,"Y"),CONCATENATE("R",ROW()),""))</f>
        <v/>
      </c>
      <c r="E260" s="2" t="s">
        <v>722</v>
      </c>
      <c r="G260" s="2">
        <v>2504814600</v>
      </c>
      <c r="H260" s="2" t="s">
        <v>723</v>
      </c>
      <c r="I260" s="2" t="s">
        <v>724</v>
      </c>
      <c r="J260" s="2" t="s">
        <v>725</v>
      </c>
      <c r="K260" s="2" t="s">
        <v>2076</v>
      </c>
    </row>
    <row r="262" spans="1:13" ht="15" customHeight="1" x14ac:dyDescent="0.25">
      <c r="A262" s="2" t="str">
        <f>IF(EXACT(F262,"N"),CONCATENATE("R",ROW()),IF(EXACT(F262,"Y"),CONCATENATE("R",ROW()),""))</f>
        <v>R262</v>
      </c>
      <c r="B262" s="2" t="s">
        <v>2456</v>
      </c>
      <c r="C262" s="2" t="s">
        <v>32</v>
      </c>
      <c r="D262" s="2" t="s">
        <v>690</v>
      </c>
      <c r="E262" s="2" t="s">
        <v>696</v>
      </c>
      <c r="F262" s="2" t="s">
        <v>746</v>
      </c>
      <c r="G262" s="2">
        <v>2504813075</v>
      </c>
      <c r="H262" s="2" t="s">
        <v>697</v>
      </c>
      <c r="I262" s="2" t="s">
        <v>698</v>
      </c>
      <c r="J262" s="2" t="s">
        <v>699</v>
      </c>
      <c r="K262" s="2" t="s">
        <v>2076</v>
      </c>
      <c r="M262" s="2">
        <v>1</v>
      </c>
    </row>
    <row r="263" spans="1:13" ht="15" customHeight="1" x14ac:dyDescent="0.25">
      <c r="A263" s="2" t="str">
        <f>IF(EXACT(F263,"N"),CONCATENATE("R",ROW()),IF(EXACT(F263,"Y"),CONCATENATE("R",ROW()),""))</f>
        <v/>
      </c>
      <c r="E263" s="2" t="s">
        <v>700</v>
      </c>
      <c r="G263" s="2">
        <v>2504813076</v>
      </c>
      <c r="H263" s="2" t="s">
        <v>701</v>
      </c>
      <c r="I263" s="2" t="s">
        <v>702</v>
      </c>
      <c r="J263" s="2" t="s">
        <v>703</v>
      </c>
      <c r="K263" s="2" t="s">
        <v>2076</v>
      </c>
    </row>
    <row r="264" spans="1:13" ht="15" customHeight="1" x14ac:dyDescent="0.25">
      <c r="A264" s="2" t="str">
        <f>IF(EXACT(F264,"N"),CONCATENATE("R",ROW()),IF(EXACT(F264,"Y"),CONCATENATE("R",ROW()),""))</f>
        <v/>
      </c>
      <c r="E264" s="2" t="s">
        <v>700</v>
      </c>
      <c r="G264" s="2">
        <v>2504814612</v>
      </c>
      <c r="H264" s="2" t="s">
        <v>704</v>
      </c>
      <c r="I264" s="2" t="s">
        <v>705</v>
      </c>
      <c r="J264" s="2" t="s">
        <v>706</v>
      </c>
      <c r="K264" s="2" t="s">
        <v>2076</v>
      </c>
    </row>
    <row r="266" spans="1:13" ht="15" customHeight="1" x14ac:dyDescent="0.25">
      <c r="A266" s="2" t="str">
        <f>IF(EXACT(F266,"N"),CONCATENATE("R",ROW()),IF(EXACT(F266,"Y"),CONCATENATE("R",ROW()),""))</f>
        <v>R266</v>
      </c>
      <c r="B266" s="2" t="s">
        <v>2457</v>
      </c>
      <c r="C266" s="2" t="s">
        <v>35</v>
      </c>
      <c r="D266" s="2" t="s">
        <v>691</v>
      </c>
      <c r="E266" s="2" t="s">
        <v>707</v>
      </c>
      <c r="F266" s="2" t="s">
        <v>746</v>
      </c>
      <c r="G266" s="2">
        <v>2504813074</v>
      </c>
      <c r="H266" s="2" t="s">
        <v>708</v>
      </c>
      <c r="I266" s="2" t="s">
        <v>709</v>
      </c>
      <c r="J266" s="2" t="s">
        <v>710</v>
      </c>
      <c r="K266" s="2" t="s">
        <v>2076</v>
      </c>
      <c r="M266" s="2">
        <v>1</v>
      </c>
    </row>
    <row r="268" spans="1:13" ht="15" customHeight="1" x14ac:dyDescent="0.25">
      <c r="A268" s="2" t="str">
        <f>IF(EXACT(F268,"N"),CONCATENATE("R",ROW()),IF(EXACT(F268,"Y"),CONCATENATE("R",ROW()),""))</f>
        <v>R268</v>
      </c>
      <c r="B268" s="2" t="s">
        <v>2458</v>
      </c>
      <c r="C268" s="2" t="s">
        <v>31</v>
      </c>
      <c r="D268" s="2" t="s">
        <v>692</v>
      </c>
      <c r="E268" s="2" t="s">
        <v>711</v>
      </c>
      <c r="F268" s="2" t="s">
        <v>746</v>
      </c>
      <c r="G268" s="2">
        <v>2504814645</v>
      </c>
      <c r="H268" s="2" t="s">
        <v>712</v>
      </c>
      <c r="I268" s="2" t="s">
        <v>713</v>
      </c>
      <c r="J268" s="2" t="s">
        <v>714</v>
      </c>
      <c r="K268" s="2" t="s">
        <v>2076</v>
      </c>
      <c r="M268" s="2">
        <v>1</v>
      </c>
    </row>
    <row r="270" spans="1:13" ht="15" customHeight="1" x14ac:dyDescent="0.25">
      <c r="A270" s="2" t="str">
        <f>IF(EXACT(F270,"N"),CONCATENATE("R",ROW()),IF(EXACT(F270,"Y"),CONCATENATE("R",ROW()),""))</f>
        <v>R270</v>
      </c>
      <c r="B270" s="2" t="s">
        <v>2459</v>
      </c>
      <c r="C270" s="2" t="s">
        <v>24</v>
      </c>
      <c r="D270" s="2" t="s">
        <v>2250</v>
      </c>
      <c r="E270" s="2" t="s">
        <v>715</v>
      </c>
      <c r="F270" s="2" t="s">
        <v>776</v>
      </c>
      <c r="G270" s="2">
        <v>2504812947</v>
      </c>
      <c r="H270" s="2" t="s">
        <v>716</v>
      </c>
      <c r="I270" s="2" t="s">
        <v>717</v>
      </c>
      <c r="J270" s="2" t="s">
        <v>718</v>
      </c>
      <c r="K270" s="2" t="s">
        <v>2076</v>
      </c>
      <c r="M270" s="2">
        <v>1</v>
      </c>
    </row>
    <row r="271" spans="1:13" ht="15" customHeight="1" x14ac:dyDescent="0.25">
      <c r="A271" s="2" t="str">
        <f>IF(EXACT(F271,"N"),CONCATENATE("R",ROW()),IF(EXACT(F271,"Y"),CONCATENATE("R",ROW()),""))</f>
        <v/>
      </c>
      <c r="E271" s="2" t="s">
        <v>715</v>
      </c>
      <c r="G271" s="2">
        <v>2504814354</v>
      </c>
      <c r="H271" s="2" t="s">
        <v>719</v>
      </c>
      <c r="I271" s="2" t="s">
        <v>720</v>
      </c>
      <c r="J271" s="2" t="s">
        <v>721</v>
      </c>
      <c r="K271" s="2" t="s">
        <v>2076</v>
      </c>
    </row>
    <row r="272" spans="1:13" ht="15" customHeight="1" x14ac:dyDescent="0.25">
      <c r="A272" s="2" t="str">
        <f>IF(EXACT(F272,"N"),CONCATENATE("R",ROW()),IF(EXACT(F272,"Y"),CONCATENATE("R",ROW()),""))</f>
        <v/>
      </c>
      <c r="E272" s="2" t="s">
        <v>722</v>
      </c>
      <c r="G272" s="2">
        <v>2504814600</v>
      </c>
      <c r="H272" s="2" t="s">
        <v>723</v>
      </c>
      <c r="I272" s="2" t="s">
        <v>724</v>
      </c>
      <c r="J272" s="2" t="s">
        <v>725</v>
      </c>
      <c r="K272" s="2" t="s">
        <v>2076</v>
      </c>
    </row>
    <row r="274" spans="1:13" ht="15" customHeight="1" x14ac:dyDescent="0.25">
      <c r="A274" s="2" t="str">
        <f>IF(EXACT(F274,"N"),CONCATENATE("R",ROW()),IF(EXACT(F274,"Y"),CONCATENATE("R",ROW()),""))</f>
        <v>R274</v>
      </c>
      <c r="B274" s="2" t="s">
        <v>2460</v>
      </c>
      <c r="C274" s="2" t="s">
        <v>23</v>
      </c>
      <c r="D274" s="2" t="s">
        <v>693</v>
      </c>
      <c r="E274" s="2" t="s">
        <v>726</v>
      </c>
      <c r="F274" s="2" t="s">
        <v>746</v>
      </c>
      <c r="G274" s="2">
        <v>2504814611</v>
      </c>
      <c r="H274" s="2" t="s">
        <v>727</v>
      </c>
      <c r="I274" s="2" t="s">
        <v>728</v>
      </c>
      <c r="J274" s="2" t="s">
        <v>729</v>
      </c>
      <c r="K274" s="2" t="s">
        <v>2076</v>
      </c>
      <c r="M274" s="2">
        <v>1</v>
      </c>
    </row>
    <row r="275" spans="1:13" ht="15" customHeight="1" x14ac:dyDescent="0.25">
      <c r="A275" s="2" t="str">
        <f>IF(EXACT(F275,"N"),CONCATENATE("R",ROW()),IF(EXACT(F275,"Y"),CONCATENATE("R",ROW()),""))</f>
        <v/>
      </c>
      <c r="E275" s="2" t="s">
        <v>726</v>
      </c>
      <c r="G275" s="2">
        <v>2504814793</v>
      </c>
      <c r="H275" s="2" t="s">
        <v>730</v>
      </c>
      <c r="I275" s="2" t="s">
        <v>731</v>
      </c>
      <c r="J275" s="2" t="s">
        <v>732</v>
      </c>
      <c r="K275" s="2" t="s">
        <v>2076</v>
      </c>
    </row>
    <row r="277" spans="1:13" ht="15" customHeight="1" x14ac:dyDescent="0.25">
      <c r="A277" s="2" t="str">
        <f>IF(EXACT(F277,"N"),CONCATENATE("R",ROW()),IF(EXACT(F277,"Y"),CONCATENATE("R",ROW()),""))</f>
        <v>R277</v>
      </c>
      <c r="B277" s="2" t="s">
        <v>2461</v>
      </c>
      <c r="C277" s="2" t="s">
        <v>28</v>
      </c>
      <c r="D277" s="2" t="s">
        <v>694</v>
      </c>
      <c r="E277" s="2" t="s">
        <v>733</v>
      </c>
      <c r="F277" s="2" t="s">
        <v>746</v>
      </c>
      <c r="G277" s="2">
        <v>2504812960</v>
      </c>
      <c r="H277" s="2" t="s">
        <v>734</v>
      </c>
      <c r="I277" s="2" t="s">
        <v>735</v>
      </c>
      <c r="J277" s="2" t="s">
        <v>736</v>
      </c>
      <c r="K277" s="2" t="s">
        <v>2076</v>
      </c>
      <c r="M277" s="2">
        <v>1</v>
      </c>
    </row>
    <row r="278" spans="1:13" ht="15" customHeight="1" x14ac:dyDescent="0.25">
      <c r="A278" s="2" t="str">
        <f>IF(EXACT(F278,"N"),CONCATENATE("R",ROW()),IF(EXACT(F278,"Y"),CONCATENATE("R",ROW()),""))</f>
        <v>R278</v>
      </c>
      <c r="B278" s="2" t="s">
        <v>2462</v>
      </c>
      <c r="C278" s="2" t="s">
        <v>29</v>
      </c>
      <c r="D278" s="2" t="s">
        <v>694</v>
      </c>
      <c r="E278" s="2" t="s">
        <v>737</v>
      </c>
      <c r="F278" s="2" t="s">
        <v>746</v>
      </c>
      <c r="G278" s="2">
        <v>2504812961</v>
      </c>
      <c r="H278" s="2" t="s">
        <v>738</v>
      </c>
      <c r="I278" s="2" t="s">
        <v>739</v>
      </c>
      <c r="J278" s="2" t="s">
        <v>740</v>
      </c>
      <c r="K278" s="2" t="s">
        <v>2076</v>
      </c>
      <c r="M278" s="2">
        <v>1</v>
      </c>
    </row>
    <row r="280" spans="1:13" ht="15" customHeight="1" x14ac:dyDescent="0.25">
      <c r="A280" s="2" t="str">
        <f>IF(EXACT(F280,"N"),CONCATENATE("R",ROW()),IF(EXACT(F280,"Y"),CONCATENATE("R",ROW()),""))</f>
        <v>R280</v>
      </c>
      <c r="B280" s="2" t="s">
        <v>2463</v>
      </c>
      <c r="C280" s="2" t="s">
        <v>30</v>
      </c>
      <c r="D280" s="2" t="s">
        <v>695</v>
      </c>
      <c r="E280" s="2" t="s">
        <v>376</v>
      </c>
      <c r="F280" s="2" t="s">
        <v>746</v>
      </c>
      <c r="K280" s="2" t="s">
        <v>2076</v>
      </c>
      <c r="M280" s="2">
        <v>1</v>
      </c>
    </row>
    <row r="282" spans="1:13" ht="15" customHeight="1" x14ac:dyDescent="0.25">
      <c r="A282" s="2" t="str">
        <f>IF(EXACT(F282,"N"),CONCATENATE("R",ROW()),IF(EXACT(F282,"Y"),CONCATENATE("R",ROW()),""))</f>
        <v>R282</v>
      </c>
      <c r="B282" s="2" t="s">
        <v>2464</v>
      </c>
      <c r="C282" s="2" t="s">
        <v>25</v>
      </c>
      <c r="D282" s="2" t="s">
        <v>461</v>
      </c>
      <c r="E282" s="2" t="s">
        <v>461</v>
      </c>
      <c r="F282" s="2" t="s">
        <v>746</v>
      </c>
      <c r="K282" s="2" t="s">
        <v>2076</v>
      </c>
      <c r="M282" s="2">
        <v>0</v>
      </c>
    </row>
    <row r="284" spans="1:13" ht="15" customHeight="1" x14ac:dyDescent="0.25">
      <c r="A284" s="2" t="str">
        <f>IF(EXACT(F284,"N"),CONCATENATE("R",ROW()),IF(EXACT(F284,"Y"),CONCATENATE("R",ROW()),""))</f>
        <v>R284</v>
      </c>
      <c r="B284" s="2" t="s">
        <v>2465</v>
      </c>
      <c r="C284" s="2" t="s">
        <v>22</v>
      </c>
      <c r="D284" s="2" t="s">
        <v>2250</v>
      </c>
      <c r="E284" s="2" t="s">
        <v>715</v>
      </c>
      <c r="F284" s="2" t="s">
        <v>776</v>
      </c>
      <c r="G284" s="2">
        <v>2504812947</v>
      </c>
      <c r="H284" s="2" t="s">
        <v>716</v>
      </c>
      <c r="I284" s="2" t="s">
        <v>717</v>
      </c>
      <c r="J284" s="2" t="s">
        <v>718</v>
      </c>
      <c r="K284" s="2" t="s">
        <v>2076</v>
      </c>
      <c r="M284" s="2">
        <v>1</v>
      </c>
    </row>
    <row r="285" spans="1:13" ht="15" customHeight="1" x14ac:dyDescent="0.25">
      <c r="A285" s="2" t="str">
        <f>IF(EXACT(F285,"N"),CONCATENATE("R",ROW()),IF(EXACT(F285,"Y"),CONCATENATE("R",ROW()),""))</f>
        <v/>
      </c>
      <c r="E285" s="2" t="s">
        <v>715</v>
      </c>
      <c r="G285" s="2">
        <v>2504814354</v>
      </c>
      <c r="H285" s="2" t="s">
        <v>719</v>
      </c>
      <c r="I285" s="2" t="s">
        <v>720</v>
      </c>
      <c r="J285" s="2" t="s">
        <v>721</v>
      </c>
      <c r="K285" s="2" t="s">
        <v>2076</v>
      </c>
    </row>
    <row r="286" spans="1:13" ht="15" customHeight="1" x14ac:dyDescent="0.25">
      <c r="A286" s="2" t="str">
        <f>IF(EXACT(F286,"N"),CONCATENATE("R",ROW()),IF(EXACT(F286,"Y"),CONCATENATE("R",ROW()),""))</f>
        <v/>
      </c>
      <c r="E286" s="2" t="s">
        <v>722</v>
      </c>
      <c r="G286" s="2">
        <v>2504814600</v>
      </c>
      <c r="H286" s="2" t="s">
        <v>723</v>
      </c>
      <c r="I286" s="2" t="s">
        <v>724</v>
      </c>
      <c r="J286" s="2" t="s">
        <v>725</v>
      </c>
      <c r="K286" s="2" t="s">
        <v>2076</v>
      </c>
    </row>
    <row r="288" spans="1:13" ht="15" customHeight="1" x14ac:dyDescent="0.25">
      <c r="A288" s="2" t="str">
        <f>IF(EXACT(F288,"N"),CONCATENATE("R",ROW()),IF(EXACT(F288,"Y"),CONCATENATE("R",ROW()),""))</f>
        <v>R288</v>
      </c>
      <c r="B288" s="2" t="s">
        <v>2466</v>
      </c>
      <c r="C288" s="2" t="s">
        <v>53</v>
      </c>
      <c r="D288" s="2" t="s">
        <v>783</v>
      </c>
      <c r="E288" s="2" t="s">
        <v>779</v>
      </c>
      <c r="F288" s="2" t="s">
        <v>746</v>
      </c>
      <c r="G288" s="2">
        <v>2504814539</v>
      </c>
      <c r="H288" s="2" t="s">
        <v>780</v>
      </c>
      <c r="I288" s="2" t="s">
        <v>781</v>
      </c>
      <c r="J288" s="2" t="s">
        <v>782</v>
      </c>
      <c r="K288" s="2" t="s">
        <v>2076</v>
      </c>
      <c r="M288" s="2">
        <v>1</v>
      </c>
    </row>
    <row r="290" spans="1:13" ht="15" customHeight="1" x14ac:dyDescent="0.25">
      <c r="A290" s="2" t="str">
        <f>IF(EXACT(F290,"N"),CONCATENATE("R",ROW()),IF(EXACT(F290,"Y"),CONCATENATE("R",ROW()),""))</f>
        <v>R290</v>
      </c>
      <c r="B290" s="2" t="s">
        <v>2467</v>
      </c>
      <c r="C290" s="2" t="s">
        <v>16</v>
      </c>
      <c r="D290" s="2" t="s">
        <v>796</v>
      </c>
      <c r="E290" s="2" t="s">
        <v>784</v>
      </c>
      <c r="F290" s="2" t="s">
        <v>746</v>
      </c>
      <c r="G290" s="2">
        <v>2504813598</v>
      </c>
      <c r="H290" s="2" t="s">
        <v>785</v>
      </c>
      <c r="I290" s="2" t="s">
        <v>786</v>
      </c>
      <c r="J290" s="2" t="s">
        <v>787</v>
      </c>
      <c r="K290" s="2" t="s">
        <v>2076</v>
      </c>
      <c r="M290" s="2">
        <v>3</v>
      </c>
    </row>
    <row r="291" spans="1:13" ht="15" customHeight="1" x14ac:dyDescent="0.25">
      <c r="A291" s="2" t="str">
        <f>IF(EXACT(F291,"N"),CONCATENATE("R",ROW()),IF(EXACT(F291,"Y"),CONCATENATE("R",ROW()),""))</f>
        <v/>
      </c>
      <c r="E291" s="2" t="s">
        <v>788</v>
      </c>
      <c r="G291" s="2">
        <v>2504814595</v>
      </c>
      <c r="H291" s="2" t="s">
        <v>789</v>
      </c>
      <c r="I291" s="2" t="s">
        <v>790</v>
      </c>
      <c r="J291" s="2" t="s">
        <v>791</v>
      </c>
      <c r="K291" s="2" t="s">
        <v>2076</v>
      </c>
    </row>
    <row r="292" spans="1:13" ht="15" customHeight="1" x14ac:dyDescent="0.25">
      <c r="A292" s="2" t="str">
        <f>IF(EXACT(F292,"N"),CONCATENATE("R",ROW()),IF(EXACT(F292,"Y"),CONCATENATE("R",ROW()),""))</f>
        <v/>
      </c>
      <c r="E292" s="2" t="s">
        <v>792</v>
      </c>
      <c r="G292" s="2">
        <v>2504813797</v>
      </c>
      <c r="H292" s="2" t="s">
        <v>793</v>
      </c>
      <c r="I292" s="2" t="s">
        <v>794</v>
      </c>
      <c r="J292" s="2" t="s">
        <v>795</v>
      </c>
      <c r="K292" s="2" t="s">
        <v>2076</v>
      </c>
    </row>
    <row r="294" spans="1:13" ht="15" customHeight="1" x14ac:dyDescent="0.25">
      <c r="A294" s="2" t="str">
        <f>IF(EXACT(F294,"N"),CONCATENATE("R",ROW()),IF(EXACT(F294,"Y"),CONCATENATE("R",ROW()),""))</f>
        <v>R294</v>
      </c>
      <c r="B294" s="2" t="s">
        <v>2353</v>
      </c>
      <c r="C294" s="2" t="s">
        <v>2041</v>
      </c>
      <c r="D294" s="2" t="s">
        <v>2255</v>
      </c>
      <c r="F294" s="2" t="s">
        <v>746</v>
      </c>
      <c r="K294" s="2" t="s">
        <v>2076</v>
      </c>
      <c r="M294" s="2">
        <v>1</v>
      </c>
    </row>
    <row r="296" spans="1:13" ht="15" customHeight="1" x14ac:dyDescent="0.25">
      <c r="A296" s="2" t="str">
        <f>IF(EXACT(F296,"N"),CONCATENATE("R",ROW()),IF(EXACT(F296,"Y"),CONCATENATE("R",ROW()),""))</f>
        <v>R296</v>
      </c>
      <c r="B296" s="2" t="s">
        <v>2468</v>
      </c>
      <c r="C296" s="2" t="s">
        <v>993</v>
      </c>
      <c r="D296" s="2" t="s">
        <v>2254</v>
      </c>
      <c r="E296" s="2" t="s">
        <v>467</v>
      </c>
      <c r="F296" s="2" t="s">
        <v>746</v>
      </c>
      <c r="G296" s="2">
        <v>2504814134</v>
      </c>
      <c r="I296" s="2" t="s">
        <v>468</v>
      </c>
      <c r="J296" s="2" t="s">
        <v>469</v>
      </c>
      <c r="K296" s="2" t="s">
        <v>2076</v>
      </c>
      <c r="M296" s="2">
        <v>1</v>
      </c>
    </row>
    <row r="298" spans="1:13" ht="15" customHeight="1" x14ac:dyDescent="0.25">
      <c r="A298" s="2" t="str">
        <f>IF(EXACT(F298,"N"),CONCATENATE("R",ROW()),IF(EXACT(F298,"Y"),CONCATENATE("R",ROW()),""))</f>
        <v>R298</v>
      </c>
      <c r="B298" s="2" t="s">
        <v>2469</v>
      </c>
      <c r="C298" s="2" t="s">
        <v>2040</v>
      </c>
      <c r="D298" s="2" t="s">
        <v>2256</v>
      </c>
      <c r="E298" s="2" t="s">
        <v>376</v>
      </c>
      <c r="F298" s="2" t="s">
        <v>746</v>
      </c>
      <c r="K298" s="2" t="s">
        <v>2076</v>
      </c>
      <c r="M298" s="2">
        <v>3</v>
      </c>
    </row>
    <row r="300" spans="1:13" ht="15" customHeight="1" x14ac:dyDescent="0.25">
      <c r="A300" s="2" t="str">
        <f>IF(EXACT(F300,"N"),CONCATENATE("R",ROW()),IF(EXACT(F300,"Y"),CONCATENATE("R",ROW()),""))</f>
        <v>R300</v>
      </c>
      <c r="B300" s="2" t="s">
        <v>2470</v>
      </c>
      <c r="C300" s="2" t="s">
        <v>54</v>
      </c>
      <c r="E300" s="2" t="s">
        <v>722</v>
      </c>
      <c r="F300" s="2" t="s">
        <v>776</v>
      </c>
      <c r="G300" s="2">
        <v>2504813751</v>
      </c>
      <c r="I300" s="2" t="s">
        <v>994</v>
      </c>
      <c r="J300" s="2" t="s">
        <v>995</v>
      </c>
      <c r="K300" s="2" t="s">
        <v>2076</v>
      </c>
      <c r="M300" s="2">
        <v>1</v>
      </c>
    </row>
    <row r="302" spans="1:13" ht="15" customHeight="1" x14ac:dyDescent="0.25">
      <c r="A302" s="2" t="str">
        <f>IF(EXACT(F302,"N"),CONCATENATE("R",ROW()),IF(EXACT(F302,"Y"),CONCATENATE("R",ROW()),""))</f>
        <v>R302</v>
      </c>
      <c r="B302" s="2" t="s">
        <v>2601</v>
      </c>
      <c r="C302" s="2" t="s">
        <v>1032</v>
      </c>
      <c r="D302" s="2" t="s">
        <v>996</v>
      </c>
      <c r="E302" s="2" t="s">
        <v>997</v>
      </c>
      <c r="F302" s="2" t="s">
        <v>746</v>
      </c>
      <c r="G302" s="2">
        <v>2504813203</v>
      </c>
      <c r="I302" s="2" t="s">
        <v>998</v>
      </c>
      <c r="J302" s="2" t="s">
        <v>999</v>
      </c>
      <c r="K302" s="2" t="s">
        <v>2076</v>
      </c>
      <c r="M302" s="2">
        <v>1</v>
      </c>
    </row>
    <row r="304" spans="1:13" ht="15" customHeight="1" x14ac:dyDescent="0.25">
      <c r="A304" s="2" t="str">
        <f>IF(EXACT(F304,"N"),CONCATENATE("R",ROW()),IF(EXACT(F304,"Y"),CONCATENATE("R",ROW()),""))</f>
        <v>R304</v>
      </c>
      <c r="B304" s="2" t="s">
        <v>2471</v>
      </c>
      <c r="C304" s="2" t="s">
        <v>2039</v>
      </c>
      <c r="E304" s="2" t="s">
        <v>376</v>
      </c>
      <c r="F304" s="2" t="s">
        <v>746</v>
      </c>
      <c r="K304" s="2" t="s">
        <v>2076</v>
      </c>
      <c r="M304" s="2">
        <v>1</v>
      </c>
    </row>
    <row r="306" spans="1:13" ht="15" customHeight="1" x14ac:dyDescent="0.25">
      <c r="A306" s="2" t="str">
        <f>IF(EXACT(F306,"N"),CONCATENATE("R",ROW()),IF(EXACT(F306,"Y"),CONCATENATE("R",ROW()),""))</f>
        <v>R306</v>
      </c>
      <c r="B306" s="2" t="s">
        <v>2472</v>
      </c>
      <c r="C306" s="2" t="s">
        <v>2197</v>
      </c>
      <c r="D306" s="2" t="s">
        <v>2157</v>
      </c>
      <c r="F306" s="2" t="s">
        <v>746</v>
      </c>
      <c r="K306" s="2" t="s">
        <v>2076</v>
      </c>
      <c r="M306" s="2">
        <v>5</v>
      </c>
    </row>
    <row r="307" spans="1:13" ht="15" customHeight="1" x14ac:dyDescent="0.25">
      <c r="A307" s="2" t="str">
        <f t="shared" ref="A307:A310" si="1">IF(EXACT(F308,"N"),CONCATENATE("R",ROW()),IF(EXACT(F308,"Y"),CONCATENATE("R",ROW()),""))</f>
        <v/>
      </c>
      <c r="C307" s="2" t="s">
        <v>2163</v>
      </c>
      <c r="D307" s="3" t="s">
        <v>1884</v>
      </c>
      <c r="E307" s="3" t="s">
        <v>262</v>
      </c>
      <c r="G307" s="3">
        <v>2504813986</v>
      </c>
      <c r="H307" s="3" t="s">
        <v>1885</v>
      </c>
      <c r="I307" s="25" t="s">
        <v>1886</v>
      </c>
      <c r="J307" s="25" t="s">
        <v>1887</v>
      </c>
      <c r="K307" s="2" t="s">
        <v>2076</v>
      </c>
    </row>
    <row r="308" spans="1:13" ht="15" customHeight="1" x14ac:dyDescent="0.25">
      <c r="A308" s="2" t="str">
        <f t="shared" si="1"/>
        <v/>
      </c>
      <c r="C308" s="2" t="s">
        <v>2164</v>
      </c>
      <c r="D308" s="2" t="s">
        <v>1888</v>
      </c>
      <c r="E308" s="2" t="s">
        <v>376</v>
      </c>
      <c r="K308" s="2" t="s">
        <v>2076</v>
      </c>
    </row>
    <row r="309" spans="1:13" ht="15" customHeight="1" x14ac:dyDescent="0.25">
      <c r="A309" s="2" t="str">
        <f t="shared" si="1"/>
        <v/>
      </c>
      <c r="C309" s="2" t="s">
        <v>2165</v>
      </c>
      <c r="D309" s="2" t="s">
        <v>1889</v>
      </c>
      <c r="E309" s="2" t="s">
        <v>376</v>
      </c>
      <c r="K309" s="2" t="s">
        <v>2076</v>
      </c>
    </row>
    <row r="310" spans="1:13" ht="15" customHeight="1" x14ac:dyDescent="0.25">
      <c r="A310" s="2" t="str">
        <f t="shared" si="1"/>
        <v/>
      </c>
      <c r="C310" s="2" t="s">
        <v>2166</v>
      </c>
      <c r="D310" s="2" t="s">
        <v>1890</v>
      </c>
      <c r="E310" s="2" t="s">
        <v>376</v>
      </c>
      <c r="K310" s="2" t="s">
        <v>2076</v>
      </c>
    </row>
    <row r="311" spans="1:13" ht="15" customHeight="1" x14ac:dyDescent="0.25">
      <c r="C311" s="2" t="s">
        <v>2167</v>
      </c>
      <c r="D311" s="2" t="s">
        <v>797</v>
      </c>
      <c r="E311" s="2" t="s">
        <v>376</v>
      </c>
    </row>
    <row r="313" spans="1:13" ht="15" customHeight="1" x14ac:dyDescent="0.25">
      <c r="A313" s="2" t="str">
        <f>IF(EXACT(F313,"N"),CONCATENATE("R",ROW()),IF(EXACT(F313,"Y"),CONCATENATE("R",ROW()),""))</f>
        <v>R313</v>
      </c>
      <c r="B313" s="2" t="s">
        <v>2566</v>
      </c>
      <c r="C313" s="2" t="s">
        <v>2195</v>
      </c>
      <c r="D313" s="3" t="s">
        <v>1884</v>
      </c>
      <c r="E313" s="3" t="s">
        <v>262</v>
      </c>
      <c r="F313" s="2" t="s">
        <v>746</v>
      </c>
      <c r="G313" s="3">
        <v>2504813986</v>
      </c>
      <c r="H313" s="3" t="s">
        <v>1885</v>
      </c>
      <c r="I313" s="25" t="s">
        <v>1886</v>
      </c>
      <c r="J313" s="25" t="s">
        <v>1887</v>
      </c>
      <c r="K313" s="2" t="s">
        <v>2076</v>
      </c>
      <c r="M313" s="2">
        <v>1</v>
      </c>
    </row>
    <row r="314" spans="1:13" ht="15" customHeight="1" x14ac:dyDescent="0.25">
      <c r="D314" s="3"/>
      <c r="E314" s="3"/>
      <c r="G314" s="3"/>
      <c r="H314" s="3"/>
      <c r="I314" s="25"/>
      <c r="J314" s="25"/>
    </row>
    <row r="315" spans="1:13" ht="15" customHeight="1" x14ac:dyDescent="0.25">
      <c r="A315" s="2" t="str">
        <f>IF(EXACT(F315,"N"),CONCATENATE("R",ROW()),IF(EXACT(F315,"Y"),CONCATENATE("R",ROW()),""))</f>
        <v>R315</v>
      </c>
      <c r="B315" s="2" t="s">
        <v>2567</v>
      </c>
      <c r="C315" s="2" t="s">
        <v>193</v>
      </c>
      <c r="D315" s="2" t="s">
        <v>2157</v>
      </c>
      <c r="E315" s="2" t="s">
        <v>376</v>
      </c>
      <c r="F315" s="2" t="s">
        <v>746</v>
      </c>
      <c r="K315" s="2" t="s">
        <v>2076</v>
      </c>
      <c r="M315" s="2">
        <v>3</v>
      </c>
    </row>
    <row r="316" spans="1:13" ht="15" customHeight="1" x14ac:dyDescent="0.25">
      <c r="C316" s="2" t="s">
        <v>2171</v>
      </c>
      <c r="D316" s="2" t="s">
        <v>2170</v>
      </c>
      <c r="E316" s="2" t="s">
        <v>376</v>
      </c>
    </row>
    <row r="317" spans="1:13" ht="15" customHeight="1" x14ac:dyDescent="0.25">
      <c r="C317" s="2" t="s">
        <v>2172</v>
      </c>
      <c r="D317" s="2" t="s">
        <v>2168</v>
      </c>
      <c r="E317" s="2" t="s">
        <v>376</v>
      </c>
    </row>
    <row r="318" spans="1:13" ht="15" customHeight="1" x14ac:dyDescent="0.25">
      <c r="C318" s="2" t="s">
        <v>2173</v>
      </c>
      <c r="D318" s="2" t="s">
        <v>2169</v>
      </c>
      <c r="E318" s="2" t="s">
        <v>376</v>
      </c>
    </row>
    <row r="320" spans="1:13" ht="15" customHeight="1" x14ac:dyDescent="0.25">
      <c r="A320" s="2" t="str">
        <f t="shared" ref="A320:A326" si="2">IF(EXACT(F320,"N"),CONCATENATE("R",ROW()),IF(EXACT(F320,"Y"),CONCATENATE("R",ROW()),""))</f>
        <v>R320</v>
      </c>
      <c r="B320" s="2" t="s">
        <v>2196</v>
      </c>
      <c r="C320" t="s">
        <v>2327</v>
      </c>
      <c r="D320" s="2" t="s">
        <v>1891</v>
      </c>
      <c r="E320" s="3" t="s">
        <v>262</v>
      </c>
      <c r="F320" s="2" t="s">
        <v>746</v>
      </c>
      <c r="G320" s="3">
        <v>2504813986</v>
      </c>
      <c r="H320" s="3" t="s">
        <v>1885</v>
      </c>
      <c r="I320" s="25" t="s">
        <v>1886</v>
      </c>
      <c r="J320" s="25" t="s">
        <v>1887</v>
      </c>
      <c r="K320" s="2" t="s">
        <v>2076</v>
      </c>
      <c r="M320" s="2">
        <v>1</v>
      </c>
    </row>
    <row r="321" spans="1:13" ht="15" customHeight="1" x14ac:dyDescent="0.25">
      <c r="A321" s="2" t="str">
        <f t="shared" si="2"/>
        <v/>
      </c>
      <c r="E321" s="3"/>
      <c r="G321" s="3"/>
      <c r="H321" s="3"/>
      <c r="I321" s="25"/>
      <c r="J321" s="25"/>
    </row>
    <row r="322" spans="1:13" ht="15" customHeight="1" x14ac:dyDescent="0.25">
      <c r="A322" s="2" t="str">
        <f t="shared" si="2"/>
        <v>R322</v>
      </c>
      <c r="B322" s="2" t="s">
        <v>2102</v>
      </c>
      <c r="C322" t="s">
        <v>2156</v>
      </c>
      <c r="D322" s="2" t="s">
        <v>2157</v>
      </c>
      <c r="F322" s="2" t="s">
        <v>746</v>
      </c>
      <c r="G322" s="3"/>
      <c r="H322" s="3"/>
      <c r="I322" s="25"/>
      <c r="J322" s="25"/>
      <c r="K322" s="2" t="s">
        <v>2076</v>
      </c>
      <c r="M322" s="2">
        <v>5</v>
      </c>
    </row>
    <row r="323" spans="1:13" ht="15" customHeight="1" x14ac:dyDescent="0.25">
      <c r="A323" s="2" t="str">
        <f t="shared" si="2"/>
        <v/>
      </c>
      <c r="C323" t="s">
        <v>2098</v>
      </c>
      <c r="D323" s="2" t="s">
        <v>1892</v>
      </c>
      <c r="E323" s="2" t="s">
        <v>376</v>
      </c>
      <c r="G323" s="3"/>
      <c r="H323" s="3"/>
      <c r="I323" s="25"/>
      <c r="J323" s="25"/>
      <c r="K323" s="2" t="s">
        <v>2076</v>
      </c>
    </row>
    <row r="324" spans="1:13" ht="15" customHeight="1" x14ac:dyDescent="0.25">
      <c r="A324" s="2" t="str">
        <f t="shared" si="2"/>
        <v/>
      </c>
      <c r="C324" t="s">
        <v>2099</v>
      </c>
      <c r="D324" s="2" t="s">
        <v>1889</v>
      </c>
      <c r="E324" s="2" t="s">
        <v>376</v>
      </c>
      <c r="K324" s="2" t="s">
        <v>2076</v>
      </c>
    </row>
    <row r="325" spans="1:13" ht="15" customHeight="1" x14ac:dyDescent="0.25">
      <c r="A325" s="2" t="str">
        <f t="shared" si="2"/>
        <v/>
      </c>
      <c r="C325" t="s">
        <v>2100</v>
      </c>
      <c r="D325" s="2" t="s">
        <v>1893</v>
      </c>
      <c r="E325" s="2" t="s">
        <v>376</v>
      </c>
      <c r="K325" s="2" t="s">
        <v>2076</v>
      </c>
    </row>
    <row r="326" spans="1:13" ht="15" customHeight="1" x14ac:dyDescent="0.25">
      <c r="A326" s="2" t="str">
        <f t="shared" si="2"/>
        <v/>
      </c>
      <c r="C326" t="s">
        <v>2101</v>
      </c>
      <c r="D326" s="2" t="s">
        <v>1894</v>
      </c>
      <c r="E326" s="2" t="s">
        <v>376</v>
      </c>
      <c r="K326" s="2" t="s">
        <v>2076</v>
      </c>
    </row>
    <row r="327" spans="1:13" ht="15" customHeight="1" x14ac:dyDescent="0.25">
      <c r="C327" t="s">
        <v>2158</v>
      </c>
      <c r="D327" s="2" t="s">
        <v>1895</v>
      </c>
      <c r="E327" s="2" t="s">
        <v>376</v>
      </c>
    </row>
    <row r="329" spans="1:13" ht="15" customHeight="1" x14ac:dyDescent="0.25">
      <c r="A329" s="2" t="str">
        <f>IF(EXACT(F329,"N"),CONCATENATE("R",ROW()),IF(EXACT(F329,"Y"),CONCATENATE("R",ROW()),""))</f>
        <v>R329</v>
      </c>
      <c r="B329" s="2" t="s">
        <v>2568</v>
      </c>
      <c r="C329" s="2" t="s">
        <v>2038</v>
      </c>
      <c r="D329" s="2" t="s">
        <v>2157</v>
      </c>
      <c r="E329" s="2" t="s">
        <v>376</v>
      </c>
      <c r="F329" s="2" t="s">
        <v>746</v>
      </c>
      <c r="K329" s="2" t="s">
        <v>2076</v>
      </c>
      <c r="M329" s="2">
        <v>5</v>
      </c>
    </row>
    <row r="330" spans="1:13" ht="15" customHeight="1" x14ac:dyDescent="0.25">
      <c r="C330" s="2" t="s">
        <v>2174</v>
      </c>
      <c r="D330" s="2" t="s">
        <v>2175</v>
      </c>
      <c r="E330" s="2" t="s">
        <v>376</v>
      </c>
    </row>
    <row r="331" spans="1:13" ht="15" customHeight="1" x14ac:dyDescent="0.25">
      <c r="C331" s="2" t="s">
        <v>2179</v>
      </c>
      <c r="D331" s="2" t="s">
        <v>2176</v>
      </c>
      <c r="E331" s="2" t="s">
        <v>376</v>
      </c>
    </row>
    <row r="332" spans="1:13" ht="15" customHeight="1" x14ac:dyDescent="0.25">
      <c r="C332" s="2" t="s">
        <v>2180</v>
      </c>
      <c r="D332" s="2" t="s">
        <v>2177</v>
      </c>
      <c r="E332" s="2" t="s">
        <v>376</v>
      </c>
    </row>
    <row r="333" spans="1:13" ht="15" customHeight="1" x14ac:dyDescent="0.25">
      <c r="C333" s="2" t="s">
        <v>2181</v>
      </c>
      <c r="D333" s="2" t="s">
        <v>1884</v>
      </c>
      <c r="E333" s="2" t="s">
        <v>376</v>
      </c>
    </row>
    <row r="334" spans="1:13" ht="15" customHeight="1" x14ac:dyDescent="0.25">
      <c r="C334" s="2" t="s">
        <v>2182</v>
      </c>
      <c r="D334" s="2" t="s">
        <v>2178</v>
      </c>
      <c r="E334" s="2" t="s">
        <v>376</v>
      </c>
    </row>
    <row r="336" spans="1:13" ht="15" customHeight="1" x14ac:dyDescent="0.25">
      <c r="A336" s="2" t="str">
        <f>IF(EXACT(F336,"N"),CONCATENATE("R",ROW()),IF(EXACT(F336,"Y"),CONCATENATE("R",ROW()),""))</f>
        <v>R336</v>
      </c>
      <c r="B336" s="2" t="s">
        <v>2473</v>
      </c>
      <c r="C336" s="2" t="s">
        <v>2190</v>
      </c>
      <c r="D336" s="2" t="s">
        <v>2157</v>
      </c>
      <c r="E336" s="2" t="s">
        <v>376</v>
      </c>
      <c r="F336" s="2" t="s">
        <v>746</v>
      </c>
      <c r="K336" s="2" t="s">
        <v>2076</v>
      </c>
      <c r="M336" s="2">
        <v>4</v>
      </c>
    </row>
    <row r="337" spans="1:13" ht="15" customHeight="1" x14ac:dyDescent="0.25">
      <c r="C337" s="2" t="s">
        <v>2186</v>
      </c>
      <c r="D337" s="2" t="s">
        <v>2183</v>
      </c>
      <c r="E337" s="2" t="s">
        <v>376</v>
      </c>
    </row>
    <row r="338" spans="1:13" ht="15" customHeight="1" x14ac:dyDescent="0.25">
      <c r="C338" s="2" t="s">
        <v>2187</v>
      </c>
      <c r="D338" s="2" t="s">
        <v>2183</v>
      </c>
      <c r="E338" s="2" t="s">
        <v>376</v>
      </c>
    </row>
    <row r="339" spans="1:13" ht="15" customHeight="1" x14ac:dyDescent="0.25">
      <c r="C339" s="2" t="s">
        <v>2188</v>
      </c>
      <c r="D339" s="2" t="s">
        <v>2184</v>
      </c>
      <c r="E339" s="2" t="s">
        <v>376</v>
      </c>
    </row>
    <row r="340" spans="1:13" ht="15" customHeight="1" x14ac:dyDescent="0.25">
      <c r="C340" s="2" t="s">
        <v>2189</v>
      </c>
      <c r="D340" s="2" t="s">
        <v>2185</v>
      </c>
      <c r="E340" s="2" t="s">
        <v>376</v>
      </c>
    </row>
    <row r="342" spans="1:13" ht="15" customHeight="1" x14ac:dyDescent="0.25">
      <c r="A342" s="2" t="str">
        <f>IF(EXACT(F342,"N"),CONCATENATE("R",ROW()),IF(EXACT(F342,"Y"),CONCATENATE("R",ROW()),""))</f>
        <v>R342</v>
      </c>
      <c r="B342" s="2" t="s">
        <v>2474</v>
      </c>
      <c r="C342" s="2" t="s">
        <v>2037</v>
      </c>
      <c r="D342" s="2" t="s">
        <v>2157</v>
      </c>
      <c r="F342" s="2" t="s">
        <v>746</v>
      </c>
      <c r="K342" s="2" t="s">
        <v>2076</v>
      </c>
      <c r="M342" s="2">
        <v>3</v>
      </c>
    </row>
    <row r="343" spans="1:13" ht="15" customHeight="1" x14ac:dyDescent="0.25">
      <c r="C343" s="2" t="s">
        <v>2191</v>
      </c>
      <c r="D343" s="2" t="s">
        <v>2194</v>
      </c>
      <c r="E343" s="2" t="s">
        <v>524</v>
      </c>
      <c r="G343" s="2">
        <v>2504814139</v>
      </c>
      <c r="I343" s="2" t="s">
        <v>1000</v>
      </c>
      <c r="J343" s="2" t="s">
        <v>527</v>
      </c>
      <c r="K343" s="2" t="s">
        <v>2076</v>
      </c>
    </row>
    <row r="344" spans="1:13" ht="15" customHeight="1" x14ac:dyDescent="0.25">
      <c r="C344" s="2" t="s">
        <v>2192</v>
      </c>
      <c r="D344" s="2" t="s">
        <v>2194</v>
      </c>
      <c r="E344" s="2" t="s">
        <v>461</v>
      </c>
    </row>
    <row r="345" spans="1:13" ht="15" customHeight="1" x14ac:dyDescent="0.25">
      <c r="C345" s="2" t="s">
        <v>2193</v>
      </c>
      <c r="D345" s="2" t="s">
        <v>2194</v>
      </c>
      <c r="E345" s="2" t="s">
        <v>461</v>
      </c>
    </row>
    <row r="347" spans="1:13" ht="15" customHeight="1" x14ac:dyDescent="0.25">
      <c r="A347" s="2" t="str">
        <f>IF(EXACT(F347,"N"),CONCATENATE("R",ROW()),IF(EXACT(F347,"Y"),CONCATENATE("R",ROW()),""))</f>
        <v>R347</v>
      </c>
      <c r="B347" s="2" t="s">
        <v>2475</v>
      </c>
      <c r="C347" s="2" t="s">
        <v>190</v>
      </c>
      <c r="E347" s="2" t="s">
        <v>262</v>
      </c>
      <c r="F347" s="2" t="s">
        <v>746</v>
      </c>
      <c r="G347" s="2">
        <v>2504813986</v>
      </c>
      <c r="I347" s="2" t="s">
        <v>1003</v>
      </c>
      <c r="J347" s="2" t="s">
        <v>1004</v>
      </c>
      <c r="K347" s="2" t="s">
        <v>2076</v>
      </c>
      <c r="M347" s="2">
        <v>1</v>
      </c>
    </row>
    <row r="349" spans="1:13" ht="15" customHeight="1" x14ac:dyDescent="0.25">
      <c r="A349" s="2" t="str">
        <f>IF(EXACT(F349,"N"),CONCATENATE("R",ROW()),IF(EXACT(F349,"Y"),CONCATENATE("R",ROW()),""))</f>
        <v>R349</v>
      </c>
      <c r="B349" s="2" t="s">
        <v>2569</v>
      </c>
      <c r="C349" s="2" t="s">
        <v>191</v>
      </c>
      <c r="D349" s="2" t="s">
        <v>2199</v>
      </c>
      <c r="E349" s="2" t="s">
        <v>361</v>
      </c>
      <c r="F349" s="2" t="s">
        <v>746</v>
      </c>
      <c r="G349" s="2">
        <v>2504814792</v>
      </c>
      <c r="I349" s="2" t="s">
        <v>1001</v>
      </c>
      <c r="J349" s="2" t="s">
        <v>1002</v>
      </c>
      <c r="K349" s="2" t="s">
        <v>2076</v>
      </c>
      <c r="M349" s="2">
        <v>1</v>
      </c>
    </row>
    <row r="351" spans="1:13" ht="15" customHeight="1" x14ac:dyDescent="0.25">
      <c r="A351" s="2" t="str">
        <f>IF(EXACT(F351,"N"),CONCATENATE("R",ROW()),IF(EXACT(F351,"Y"),CONCATENATE("R",ROW()),""))</f>
        <v>R351</v>
      </c>
      <c r="B351" s="2" t="s">
        <v>2570</v>
      </c>
      <c r="C351" s="2" t="s">
        <v>1629</v>
      </c>
      <c r="D351" s="2" t="s">
        <v>2198</v>
      </c>
      <c r="E351" s="2" t="s">
        <v>376</v>
      </c>
      <c r="F351" s="2" t="s">
        <v>746</v>
      </c>
      <c r="K351" s="2" t="s">
        <v>2076</v>
      </c>
      <c r="M351" s="2">
        <v>1</v>
      </c>
    </row>
    <row r="353" spans="1:13" ht="15" customHeight="1" x14ac:dyDescent="0.25">
      <c r="A353" s="2" t="str">
        <f>IF(EXACT(F353,"N"),CONCATENATE("R",ROW()),IF(EXACT(F353,"Y"),CONCATENATE("R",ROW()),""))</f>
        <v>R353</v>
      </c>
      <c r="B353" s="3" t="s">
        <v>2476</v>
      </c>
      <c r="C353" s="3" t="s">
        <v>194</v>
      </c>
      <c r="D353" s="2" t="s">
        <v>2200</v>
      </c>
      <c r="E353" s="2" t="s">
        <v>376</v>
      </c>
      <c r="F353" s="2" t="s">
        <v>746</v>
      </c>
      <c r="K353" s="2" t="s">
        <v>2076</v>
      </c>
      <c r="M353" s="2">
        <v>1</v>
      </c>
    </row>
    <row r="354" spans="1:13" ht="15" customHeight="1" x14ac:dyDescent="0.25">
      <c r="B354" s="3"/>
      <c r="C354" s="3"/>
    </row>
    <row r="355" spans="1:13" ht="15" customHeight="1" x14ac:dyDescent="0.25">
      <c r="A355" s="2" t="str">
        <f>IF(EXACT(F355,"N"),CONCATENATE("R",ROW()),IF(EXACT(F355,"Y"),CONCATENATE("R",ROW()),""))</f>
        <v>R355</v>
      </c>
      <c r="B355" s="2" t="s">
        <v>2571</v>
      </c>
      <c r="C355" s="2" t="s">
        <v>2036</v>
      </c>
      <c r="D355" s="2" t="s">
        <v>2201</v>
      </c>
      <c r="E355" s="2" t="s">
        <v>376</v>
      </c>
      <c r="F355" s="2" t="s">
        <v>746</v>
      </c>
      <c r="K355" s="2" t="s">
        <v>2076</v>
      </c>
      <c r="M355" s="2">
        <v>3</v>
      </c>
    </row>
    <row r="357" spans="1:13" ht="15" customHeight="1" x14ac:dyDescent="0.25">
      <c r="A357" s="2" t="str">
        <f>IF(EXACT(F357,"N"),CONCATENATE("R",ROW()),IF(EXACT(F357,"Y"),CONCATENATE("R",ROW()),""))</f>
        <v>R357</v>
      </c>
      <c r="B357" s="2" t="s">
        <v>2572</v>
      </c>
      <c r="C357" s="2" t="s">
        <v>2035</v>
      </c>
      <c r="D357" s="2" t="s">
        <v>2157</v>
      </c>
      <c r="E357" s="2" t="s">
        <v>376</v>
      </c>
      <c r="F357" s="2" t="s">
        <v>746</v>
      </c>
      <c r="K357" s="2" t="s">
        <v>2076</v>
      </c>
      <c r="M357" s="2">
        <v>12</v>
      </c>
    </row>
    <row r="358" spans="1:13" ht="15" customHeight="1" x14ac:dyDescent="0.25">
      <c r="C358" s="2" t="s">
        <v>2202</v>
      </c>
      <c r="D358" s="2" t="s">
        <v>2212</v>
      </c>
      <c r="E358" s="2" t="s">
        <v>376</v>
      </c>
    </row>
    <row r="359" spans="1:13" ht="15" customHeight="1" x14ac:dyDescent="0.25">
      <c r="C359" s="2" t="s">
        <v>2203</v>
      </c>
      <c r="D359" s="2" t="s">
        <v>2213</v>
      </c>
      <c r="G359" s="2">
        <v>2504814229</v>
      </c>
      <c r="H359" t="s">
        <v>2612</v>
      </c>
      <c r="I359" s="25" t="s">
        <v>2614</v>
      </c>
      <c r="J359" s="25" t="s">
        <v>2613</v>
      </c>
    </row>
    <row r="360" spans="1:13" ht="15" customHeight="1" x14ac:dyDescent="0.25">
      <c r="C360" s="2" t="s">
        <v>2223</v>
      </c>
      <c r="D360" s="2" t="s">
        <v>2214</v>
      </c>
      <c r="E360" s="2" t="s">
        <v>376</v>
      </c>
    </row>
    <row r="361" spans="1:13" ht="15" customHeight="1" x14ac:dyDescent="0.25">
      <c r="C361" s="2" t="s">
        <v>2224</v>
      </c>
      <c r="D361" s="2" t="s">
        <v>2225</v>
      </c>
      <c r="E361" s="2" t="s">
        <v>376</v>
      </c>
    </row>
    <row r="362" spans="1:13" ht="15" customHeight="1" x14ac:dyDescent="0.25">
      <c r="C362" s="2" t="s">
        <v>2204</v>
      </c>
      <c r="D362" s="2" t="s">
        <v>2215</v>
      </c>
      <c r="E362" s="2" t="s">
        <v>376</v>
      </c>
    </row>
    <row r="363" spans="1:13" ht="15" customHeight="1" x14ac:dyDescent="0.25">
      <c r="C363" s="2" t="s">
        <v>2205</v>
      </c>
      <c r="D363" s="2" t="s">
        <v>2216</v>
      </c>
      <c r="G363" s="2">
        <v>2504814768</v>
      </c>
      <c r="H363" t="s">
        <v>2615</v>
      </c>
      <c r="I363" s="25" t="s">
        <v>2617</v>
      </c>
      <c r="J363" s="25" t="s">
        <v>2616</v>
      </c>
    </row>
    <row r="364" spans="1:13" ht="15" customHeight="1" x14ac:dyDescent="0.25">
      <c r="C364" s="2" t="s">
        <v>2206</v>
      </c>
      <c r="D364" s="2" t="s">
        <v>2217</v>
      </c>
      <c r="E364" s="2" t="s">
        <v>376</v>
      </c>
    </row>
    <row r="365" spans="1:13" ht="15" customHeight="1" x14ac:dyDescent="0.25">
      <c r="C365" s="2" t="s">
        <v>2207</v>
      </c>
      <c r="D365" s="2" t="s">
        <v>2218</v>
      </c>
      <c r="E365" s="2" t="s">
        <v>376</v>
      </c>
    </row>
    <row r="366" spans="1:13" ht="15" customHeight="1" x14ac:dyDescent="0.25">
      <c r="C366" s="2" t="s">
        <v>2208</v>
      </c>
      <c r="D366" s="2" t="s">
        <v>2219</v>
      </c>
      <c r="E366" s="2" t="s">
        <v>376</v>
      </c>
    </row>
    <row r="367" spans="1:13" ht="15" customHeight="1" x14ac:dyDescent="0.25">
      <c r="C367" s="2" t="s">
        <v>2209</v>
      </c>
      <c r="D367" s="2" t="s">
        <v>2220</v>
      </c>
      <c r="E367" s="2" t="s">
        <v>376</v>
      </c>
    </row>
    <row r="368" spans="1:13" ht="15" customHeight="1" x14ac:dyDescent="0.25">
      <c r="C368" s="2" t="s">
        <v>2210</v>
      </c>
      <c r="D368" s="2" t="s">
        <v>2221</v>
      </c>
      <c r="E368" s="2" t="s">
        <v>376</v>
      </c>
    </row>
    <row r="369" spans="1:13" ht="15" customHeight="1" x14ac:dyDescent="0.25">
      <c r="C369" s="2" t="s">
        <v>2211</v>
      </c>
      <c r="D369" s="2" t="s">
        <v>2222</v>
      </c>
      <c r="E369" s="2" t="s">
        <v>376</v>
      </c>
    </row>
    <row r="371" spans="1:13" ht="15" customHeight="1" x14ac:dyDescent="0.25">
      <c r="A371" s="2" t="str">
        <f>IF(EXACT(F371,"N"),CONCATENATE("R",ROW()),IF(EXACT(F371,"Y"),CONCATENATE("R",ROW()),""))</f>
        <v>R371</v>
      </c>
      <c r="B371" s="2" t="s">
        <v>2477</v>
      </c>
      <c r="C371" s="2" t="s">
        <v>2242</v>
      </c>
      <c r="D371" s="2" t="s">
        <v>2157</v>
      </c>
      <c r="E371" s="2" t="s">
        <v>376</v>
      </c>
      <c r="F371" s="2" t="s">
        <v>746</v>
      </c>
      <c r="K371" s="2" t="s">
        <v>2076</v>
      </c>
      <c r="M371" s="2">
        <v>8</v>
      </c>
    </row>
    <row r="372" spans="1:13" ht="15" customHeight="1" x14ac:dyDescent="0.25">
      <c r="C372" s="2" t="s">
        <v>2226</v>
      </c>
      <c r="D372" s="2" t="s">
        <v>2234</v>
      </c>
      <c r="G372" s="2">
        <v>2504814323</v>
      </c>
      <c r="H372" t="s">
        <v>2618</v>
      </c>
      <c r="I372" s="25" t="s">
        <v>2620</v>
      </c>
      <c r="J372" s="25" t="s">
        <v>2619</v>
      </c>
    </row>
    <row r="373" spans="1:13" ht="15" customHeight="1" x14ac:dyDescent="0.25">
      <c r="C373" s="2" t="s">
        <v>2227</v>
      </c>
      <c r="D373" s="2" t="s">
        <v>2235</v>
      </c>
      <c r="E373" s="2" t="s">
        <v>376</v>
      </c>
    </row>
    <row r="374" spans="1:13" ht="15" customHeight="1" x14ac:dyDescent="0.25">
      <c r="C374" s="2" t="s">
        <v>2228</v>
      </c>
      <c r="D374" s="2" t="s">
        <v>2236</v>
      </c>
      <c r="G374" s="2">
        <v>2504814324</v>
      </c>
      <c r="H374" t="s">
        <v>2621</v>
      </c>
      <c r="I374" s="25" t="s">
        <v>2623</v>
      </c>
      <c r="J374" s="25" t="s">
        <v>2622</v>
      </c>
    </row>
    <row r="375" spans="1:13" ht="15" customHeight="1" x14ac:dyDescent="0.25">
      <c r="C375" s="2" t="s">
        <v>2229</v>
      </c>
      <c r="D375" s="2" t="s">
        <v>2237</v>
      </c>
      <c r="E375" s="2" t="s">
        <v>376</v>
      </c>
    </row>
    <row r="376" spans="1:13" ht="15" customHeight="1" x14ac:dyDescent="0.25">
      <c r="C376" s="2" t="s">
        <v>2230</v>
      </c>
      <c r="D376" s="2" t="s">
        <v>2238</v>
      </c>
      <c r="G376" s="2">
        <v>2504814320</v>
      </c>
      <c r="H376" t="s">
        <v>2624</v>
      </c>
      <c r="I376" s="25" t="s">
        <v>2626</v>
      </c>
      <c r="J376" s="25" t="s">
        <v>2625</v>
      </c>
    </row>
    <row r="377" spans="1:13" ht="15" customHeight="1" x14ac:dyDescent="0.25">
      <c r="C377" s="2" t="s">
        <v>2231</v>
      </c>
      <c r="D377" s="2" t="s">
        <v>2239</v>
      </c>
      <c r="E377" s="2" t="s">
        <v>376</v>
      </c>
      <c r="G377" s="2">
        <v>2504814320</v>
      </c>
      <c r="H377" t="s">
        <v>2624</v>
      </c>
      <c r="I377" s="25" t="s">
        <v>2626</v>
      </c>
      <c r="J377" s="25" t="s">
        <v>2625</v>
      </c>
    </row>
    <row r="378" spans="1:13" ht="15" customHeight="1" x14ac:dyDescent="0.25">
      <c r="C378" s="2" t="s">
        <v>2232</v>
      </c>
      <c r="D378" s="2" t="s">
        <v>2240</v>
      </c>
      <c r="E378" s="2" t="s">
        <v>376</v>
      </c>
    </row>
    <row r="379" spans="1:13" ht="15" customHeight="1" x14ac:dyDescent="0.25">
      <c r="C379" s="2" t="s">
        <v>2233</v>
      </c>
      <c r="D379" s="2" t="s">
        <v>2241</v>
      </c>
      <c r="E379" s="2" t="s">
        <v>376</v>
      </c>
    </row>
    <row r="381" spans="1:13" ht="15" customHeight="1" x14ac:dyDescent="0.25">
      <c r="A381" s="2" t="str">
        <f>IF(EXACT(F381,"N"),CONCATENATE("R",ROW()),IF(EXACT(F381,"Y"),CONCATENATE("R",ROW()),""))</f>
        <v>R381</v>
      </c>
      <c r="B381" s="2" t="s">
        <v>2478</v>
      </c>
      <c r="C381" s="2" t="s">
        <v>1652</v>
      </c>
      <c r="D381" s="2" t="s">
        <v>2243</v>
      </c>
      <c r="E381" s="2" t="s">
        <v>376</v>
      </c>
      <c r="F381" s="2" t="s">
        <v>746</v>
      </c>
      <c r="K381" s="2" t="s">
        <v>2076</v>
      </c>
      <c r="M381" s="2">
        <v>1</v>
      </c>
    </row>
    <row r="383" spans="1:13" ht="15" customHeight="1" x14ac:dyDescent="0.25">
      <c r="A383" s="2" t="str">
        <f>IF(EXACT(F383,"N"),CONCATENATE("R",ROW()),IF(EXACT(F383,"Y"),CONCATENATE("R",ROW()),""))</f>
        <v>R383</v>
      </c>
      <c r="B383" s="2" t="s">
        <v>2479</v>
      </c>
      <c r="C383" s="2" t="s">
        <v>17</v>
      </c>
      <c r="D383" s="2" t="s">
        <v>2244</v>
      </c>
      <c r="E383" s="2" t="s">
        <v>376</v>
      </c>
      <c r="F383" s="2" t="s">
        <v>746</v>
      </c>
      <c r="K383" s="2" t="s">
        <v>2076</v>
      </c>
      <c r="M383" s="2">
        <v>1</v>
      </c>
    </row>
    <row r="385" spans="1:13" ht="15" customHeight="1" x14ac:dyDescent="0.25">
      <c r="A385" s="2" t="str">
        <f>IF(EXACT(F385,"N"),CONCATENATE("R",ROW()),IF(EXACT(F385,"Y"),CONCATENATE("R",ROW()),""))</f>
        <v>R385</v>
      </c>
      <c r="B385" s="2" t="s">
        <v>2480</v>
      </c>
      <c r="C385" s="2" t="s">
        <v>18</v>
      </c>
      <c r="D385" s="2" t="s">
        <v>2248</v>
      </c>
      <c r="E385" s="2" t="s">
        <v>376</v>
      </c>
      <c r="F385" s="2" t="s">
        <v>746</v>
      </c>
      <c r="K385" s="2" t="s">
        <v>2076</v>
      </c>
      <c r="M385" s="2">
        <v>3</v>
      </c>
    </row>
    <row r="387" spans="1:13" ht="15" customHeight="1" x14ac:dyDescent="0.25">
      <c r="A387" s="2" t="str">
        <f>IF(EXACT(F387,"N"),CONCATENATE("R",ROW()),IF(EXACT(F387,"Y"),CONCATENATE("R",ROW()),""))</f>
        <v>R387</v>
      </c>
      <c r="B387" s="2" t="s">
        <v>2481</v>
      </c>
      <c r="C387" s="2" t="s">
        <v>2083</v>
      </c>
      <c r="D387" s="2" t="s">
        <v>2245</v>
      </c>
      <c r="E387" s="2" t="s">
        <v>376</v>
      </c>
      <c r="F387" s="2" t="s">
        <v>746</v>
      </c>
      <c r="K387" s="2" t="s">
        <v>2076</v>
      </c>
      <c r="M387" s="2">
        <v>1</v>
      </c>
    </row>
    <row r="389" spans="1:13" ht="15" customHeight="1" x14ac:dyDescent="0.25">
      <c r="A389" s="2" t="str">
        <f>IF(EXACT(F389,"N"),CONCATENATE("R",ROW()),IF(EXACT(F389,"Y"),CONCATENATE("R",ROW()),""))</f>
        <v>R389</v>
      </c>
      <c r="B389" s="2" t="s">
        <v>2482</v>
      </c>
      <c r="C389" s="2" t="s">
        <v>19</v>
      </c>
      <c r="D389" s="2" t="s">
        <v>2246</v>
      </c>
      <c r="E389" s="2" t="s">
        <v>376</v>
      </c>
      <c r="F389" s="2" t="s">
        <v>776</v>
      </c>
      <c r="K389" s="2" t="s">
        <v>2076</v>
      </c>
      <c r="M389" s="2">
        <v>1</v>
      </c>
    </row>
    <row r="391" spans="1:13" ht="15" customHeight="1" x14ac:dyDescent="0.25">
      <c r="A391" s="2" t="str">
        <f>IF(EXACT(F391,"N"),CONCATENATE("R",ROW()),IF(EXACT(F391,"Y"),CONCATENATE("R",ROW()),""))</f>
        <v>R391</v>
      </c>
      <c r="B391" s="2" t="s">
        <v>2483</v>
      </c>
      <c r="C391" s="2" t="s">
        <v>20</v>
      </c>
      <c r="D391" s="2" t="s">
        <v>2247</v>
      </c>
      <c r="E391" s="2" t="s">
        <v>376</v>
      </c>
      <c r="F391" s="2" t="s">
        <v>776</v>
      </c>
      <c r="K391" s="2" t="s">
        <v>2076</v>
      </c>
      <c r="M391" s="2">
        <v>1</v>
      </c>
    </row>
    <row r="393" spans="1:13" ht="15" customHeight="1" x14ac:dyDescent="0.25">
      <c r="A393" s="2" t="str">
        <f>IF(EXACT(F393,"N"),CONCATENATE("R",ROW()),IF(EXACT(F393,"Y"),CONCATENATE("R",ROW()),""))</f>
        <v>R393</v>
      </c>
      <c r="B393" s="3" t="s">
        <v>2573</v>
      </c>
      <c r="C393" s="3" t="str">
        <f>BIOMASS_Myell!X21</f>
        <v>1 myell_protein + 99 H2O = 6 L-Alanine + 0.7 L-Cysteine + 4.6 L-Aspartate + 7.2 L-Glutamate + 4.2 L-Phenylalanine + 7.5 Glycine + 1.5 L-Histidine + 6.5 L-Isoleucine + 6.1 L-Lysine + 11 L-Leucine + 2.4 L-Methionine + 3.6 L-Asparagine + 4.3 L-Proline + 2.3 L-Glutamine + 6.3 L-Arginine + 7 L-Serine + 4.9 L-Threonine + 9.1 L-Valine + 1.2 L-Tryptophan + 3.9 L-Tyrosine</v>
      </c>
      <c r="F393" s="2" t="s">
        <v>746</v>
      </c>
      <c r="K393" s="2" t="s">
        <v>2076</v>
      </c>
      <c r="M393" s="2">
        <v>1</v>
      </c>
    </row>
    <row r="395" spans="1:13" s="27" customFormat="1" ht="15" customHeight="1" x14ac:dyDescent="0.25">
      <c r="C395" s="27" t="s">
        <v>2077</v>
      </c>
    </row>
    <row r="396" spans="1:13" ht="15" customHeight="1" x14ac:dyDescent="0.25">
      <c r="A396" s="2" t="str">
        <f>IF(EXACT(F396,"N"),CONCATENATE("R",ROW()),IF(EXACT(F396,"Y"),CONCATENATE("R",ROW()),""))</f>
        <v>R396</v>
      </c>
      <c r="B396" s="2" t="s">
        <v>2484</v>
      </c>
      <c r="C396" s="2" t="s">
        <v>92</v>
      </c>
      <c r="D396" s="2" t="s">
        <v>797</v>
      </c>
      <c r="E396" s="2" t="s">
        <v>798</v>
      </c>
      <c r="F396" s="2" t="s">
        <v>776</v>
      </c>
      <c r="G396" s="2">
        <v>2504813161</v>
      </c>
      <c r="H396" s="2" t="s">
        <v>799</v>
      </c>
      <c r="I396" s="2" t="s">
        <v>800</v>
      </c>
      <c r="J396" s="2" t="s">
        <v>801</v>
      </c>
      <c r="K396" s="2" t="s">
        <v>2076</v>
      </c>
      <c r="M396" s="2">
        <v>1</v>
      </c>
    </row>
    <row r="398" spans="1:13" ht="15" customHeight="1" x14ac:dyDescent="0.25">
      <c r="A398" s="2" t="str">
        <f>IF(EXACT(F398,"N"),CONCATENATE("R",ROW()),IF(EXACT(F398,"Y"),CONCATENATE("R",ROW()),""))</f>
        <v>R398</v>
      </c>
      <c r="B398" s="2" t="s">
        <v>2485</v>
      </c>
      <c r="C398" s="2" t="s">
        <v>94</v>
      </c>
      <c r="D398" s="2" t="s">
        <v>802</v>
      </c>
      <c r="E398" s="2" t="s">
        <v>803</v>
      </c>
      <c r="F398" s="2" t="s">
        <v>776</v>
      </c>
      <c r="G398" s="2">
        <v>2504813420</v>
      </c>
      <c r="H398" s="2" t="s">
        <v>804</v>
      </c>
      <c r="I398" s="2" t="s">
        <v>805</v>
      </c>
      <c r="J398" s="2" t="s">
        <v>806</v>
      </c>
      <c r="K398" s="2" t="s">
        <v>2076</v>
      </c>
      <c r="M398" s="2">
        <v>1</v>
      </c>
    </row>
    <row r="400" spans="1:13" ht="15" customHeight="1" x14ac:dyDescent="0.25">
      <c r="A400" s="2" t="str">
        <f>IF(EXACT(F400,"N"),CONCATENATE("R",ROW()),IF(EXACT(F400,"Y"),CONCATENATE("R",ROW()),""))</f>
        <v>R400</v>
      </c>
      <c r="B400" s="2" t="s">
        <v>2486</v>
      </c>
      <c r="C400" s="2" t="s">
        <v>95</v>
      </c>
      <c r="D400" s="2" t="s">
        <v>807</v>
      </c>
      <c r="E400" s="2" t="s">
        <v>808</v>
      </c>
      <c r="F400" s="2" t="s">
        <v>776</v>
      </c>
      <c r="G400" s="2">
        <v>2504813833</v>
      </c>
      <c r="H400" s="2" t="s">
        <v>809</v>
      </c>
      <c r="I400" s="2" t="s">
        <v>810</v>
      </c>
      <c r="J400" s="2" t="s">
        <v>811</v>
      </c>
      <c r="K400" s="2" t="s">
        <v>2076</v>
      </c>
      <c r="M400" s="2">
        <v>1</v>
      </c>
    </row>
    <row r="402" spans="1:13" ht="15" customHeight="1" x14ac:dyDescent="0.25">
      <c r="A402" s="2" t="str">
        <f>IF(EXACT(F402,"N"),CONCATENATE("R",ROW()),IF(EXACT(F402,"Y"),CONCATENATE("R",ROW()),""))</f>
        <v>R402</v>
      </c>
      <c r="B402" s="2" t="s">
        <v>2487</v>
      </c>
      <c r="C402" s="2" t="s">
        <v>96</v>
      </c>
      <c r="D402" s="2" t="s">
        <v>812</v>
      </c>
      <c r="E402" s="2" t="s">
        <v>813</v>
      </c>
      <c r="F402" s="2" t="s">
        <v>746</v>
      </c>
      <c r="G402" s="2">
        <v>2504813376</v>
      </c>
      <c r="H402" s="2" t="s">
        <v>814</v>
      </c>
      <c r="I402" s="2" t="s">
        <v>815</v>
      </c>
      <c r="J402" s="2" t="s">
        <v>816</v>
      </c>
      <c r="K402" s="2" t="s">
        <v>2076</v>
      </c>
      <c r="M402" s="2">
        <v>1</v>
      </c>
    </row>
    <row r="404" spans="1:13" ht="15" customHeight="1" x14ac:dyDescent="0.25">
      <c r="A404" s="2" t="str">
        <f>IF(EXACT(F404,"N"),CONCATENATE("R",ROW()),IF(EXACT(F404,"Y"),CONCATENATE("R",ROW()),""))</f>
        <v>R404</v>
      </c>
      <c r="B404" s="2" t="s">
        <v>2599</v>
      </c>
      <c r="C404" s="2" t="s">
        <v>2252</v>
      </c>
      <c r="D404" s="2" t="s">
        <v>2251</v>
      </c>
      <c r="E404" s="2" t="s">
        <v>376</v>
      </c>
      <c r="F404" s="2" t="s">
        <v>746</v>
      </c>
      <c r="K404" s="2" t="s">
        <v>2249</v>
      </c>
      <c r="L404" s="2" t="s">
        <v>2253</v>
      </c>
      <c r="M404" s="2">
        <v>1</v>
      </c>
    </row>
    <row r="406" spans="1:13" ht="15" customHeight="1" x14ac:dyDescent="0.25">
      <c r="A406" s="2" t="str">
        <f>IF(EXACT(F406,"N"),CONCATENATE("R",ROW()),IF(EXACT(F406,"Y"),CONCATENATE("R",ROW()),""))</f>
        <v>R406</v>
      </c>
      <c r="B406" s="2" t="s">
        <v>2600</v>
      </c>
      <c r="C406" s="2" t="s">
        <v>91</v>
      </c>
      <c r="D406" s="2" t="s">
        <v>817</v>
      </c>
      <c r="E406" s="2" t="s">
        <v>818</v>
      </c>
      <c r="F406" s="2" t="s">
        <v>746</v>
      </c>
      <c r="G406" s="2">
        <v>2504813375</v>
      </c>
      <c r="H406" s="2" t="s">
        <v>819</v>
      </c>
      <c r="I406" s="2" t="s">
        <v>820</v>
      </c>
      <c r="J406" s="2" t="s">
        <v>821</v>
      </c>
      <c r="K406" s="2" t="s">
        <v>2076</v>
      </c>
      <c r="M406" s="2">
        <v>1</v>
      </c>
    </row>
    <row r="408" spans="1:13" ht="15" customHeight="1" x14ac:dyDescent="0.25">
      <c r="A408" s="2" t="str">
        <f>IF(EXACT(F408,"N"),CONCATENATE("R",ROW()),IF(EXACT(F408,"Y"),CONCATENATE("R",ROW()),""))</f>
        <v>R408</v>
      </c>
      <c r="B408" s="2" t="s">
        <v>2488</v>
      </c>
      <c r="C408" s="2" t="s">
        <v>93</v>
      </c>
      <c r="D408" s="2" t="s">
        <v>822</v>
      </c>
      <c r="E408" s="2" t="s">
        <v>376</v>
      </c>
      <c r="F408" s="2" t="s">
        <v>776</v>
      </c>
      <c r="G408" s="2" t="s">
        <v>376</v>
      </c>
      <c r="K408" s="2" t="s">
        <v>2076</v>
      </c>
      <c r="M408" s="2">
        <v>1</v>
      </c>
    </row>
    <row r="410" spans="1:13" ht="15" customHeight="1" x14ac:dyDescent="0.25">
      <c r="A410" s="2" t="str">
        <f>IF(EXACT(F410,"N"),CONCATENATE("R",ROW()),IF(EXACT(F410,"Y"),CONCATENATE("R",ROW()),""))</f>
        <v>R410</v>
      </c>
      <c r="B410" s="2" t="s">
        <v>2574</v>
      </c>
      <c r="C410" s="2" t="s">
        <v>79</v>
      </c>
      <c r="D410" s="2" t="s">
        <v>823</v>
      </c>
      <c r="E410" s="2" t="s">
        <v>828</v>
      </c>
      <c r="F410" s="2" t="s">
        <v>746</v>
      </c>
      <c r="G410" s="2">
        <v>2504813374</v>
      </c>
      <c r="H410" s="2" t="s">
        <v>829</v>
      </c>
      <c r="I410" s="2" t="s">
        <v>830</v>
      </c>
      <c r="J410" s="2" t="s">
        <v>831</v>
      </c>
      <c r="K410" s="2" t="s">
        <v>2076</v>
      </c>
      <c r="M410" s="2">
        <v>1</v>
      </c>
    </row>
    <row r="412" spans="1:13" ht="15" customHeight="1" x14ac:dyDescent="0.25">
      <c r="A412" s="2" t="str">
        <f>IF(EXACT(F412,"N"),CONCATENATE("R",ROW()),IF(EXACT(F412,"Y"),CONCATENATE("R",ROW()),""))</f>
        <v>R412</v>
      </c>
      <c r="B412" s="2" t="s">
        <v>2575</v>
      </c>
      <c r="C412" s="2" t="s">
        <v>80</v>
      </c>
      <c r="D412" s="2" t="s">
        <v>824</v>
      </c>
      <c r="E412" s="2" t="s">
        <v>828</v>
      </c>
      <c r="F412" s="2" t="s">
        <v>746</v>
      </c>
      <c r="G412" s="2">
        <v>2504813374</v>
      </c>
      <c r="H412" s="2" t="s">
        <v>829</v>
      </c>
      <c r="I412" s="2" t="s">
        <v>830</v>
      </c>
      <c r="J412" s="2" t="s">
        <v>831</v>
      </c>
      <c r="K412" s="2" t="s">
        <v>2076</v>
      </c>
      <c r="M412" s="2">
        <v>1</v>
      </c>
    </row>
    <row r="414" spans="1:13" ht="15" customHeight="1" x14ac:dyDescent="0.25">
      <c r="A414" s="2" t="str">
        <f>IF(EXACT(F414,"N"),CONCATENATE("R",ROW()),IF(EXACT(F414,"Y"),CONCATENATE("R",ROW()),""))</f>
        <v>R414</v>
      </c>
      <c r="B414" s="2" t="s">
        <v>2576</v>
      </c>
      <c r="C414" s="2" t="s">
        <v>81</v>
      </c>
      <c r="D414" s="2" t="s">
        <v>825</v>
      </c>
      <c r="E414" s="2" t="s">
        <v>828</v>
      </c>
      <c r="F414" s="2" t="s">
        <v>746</v>
      </c>
      <c r="G414" s="2">
        <v>2504813374</v>
      </c>
      <c r="H414" s="2" t="s">
        <v>829</v>
      </c>
      <c r="I414" s="2" t="s">
        <v>830</v>
      </c>
      <c r="J414" s="2" t="s">
        <v>831</v>
      </c>
      <c r="K414" s="2" t="s">
        <v>2076</v>
      </c>
      <c r="M414" s="2">
        <v>1</v>
      </c>
    </row>
    <row r="416" spans="1:13" ht="15" customHeight="1" x14ac:dyDescent="0.25">
      <c r="A416" s="2" t="str">
        <f>IF(EXACT(F416,"N"),CONCATENATE("R",ROW()),IF(EXACT(F416,"Y"),CONCATENATE("R",ROW()),""))</f>
        <v>R416</v>
      </c>
      <c r="B416" s="2" t="s">
        <v>2577</v>
      </c>
      <c r="C416" s="2" t="s">
        <v>82</v>
      </c>
      <c r="D416" s="2" t="s">
        <v>826</v>
      </c>
      <c r="E416" s="2" t="s">
        <v>828</v>
      </c>
      <c r="F416" s="2" t="s">
        <v>746</v>
      </c>
      <c r="G416" s="2">
        <v>2504813374</v>
      </c>
      <c r="H416" s="2" t="s">
        <v>829</v>
      </c>
      <c r="I416" s="2" t="s">
        <v>830</v>
      </c>
      <c r="J416" s="2" t="s">
        <v>831</v>
      </c>
      <c r="K416" s="2" t="s">
        <v>2076</v>
      </c>
      <c r="M416" s="2">
        <v>1</v>
      </c>
    </row>
    <row r="418" spans="1:13" ht="15" customHeight="1" x14ac:dyDescent="0.25">
      <c r="A418" s="2" t="str">
        <f>IF(EXACT(F418,"N"),CONCATENATE("R",ROW()),IF(EXACT(F418,"Y"),CONCATENATE("R",ROW()),""))</f>
        <v>R418</v>
      </c>
      <c r="B418" s="2" t="s">
        <v>2578</v>
      </c>
      <c r="C418" s="2" t="s">
        <v>77</v>
      </c>
      <c r="E418" s="2" t="s">
        <v>376</v>
      </c>
      <c r="F418" s="2" t="s">
        <v>746</v>
      </c>
      <c r="K418" s="2" t="s">
        <v>2076</v>
      </c>
      <c r="M418" s="2">
        <v>1</v>
      </c>
    </row>
    <row r="420" spans="1:13" ht="15" customHeight="1" x14ac:dyDescent="0.25">
      <c r="A420" s="2" t="str">
        <f>IF(EXACT(F420,"N"),CONCATENATE("R",ROW()),IF(EXACT(F420,"Y"),CONCATENATE("R",ROW()),""))</f>
        <v>R420</v>
      </c>
      <c r="B420" s="2" t="s">
        <v>2579</v>
      </c>
      <c r="C420" s="2" t="s">
        <v>76</v>
      </c>
      <c r="E420" s="2" t="s">
        <v>376</v>
      </c>
      <c r="F420" s="2" t="s">
        <v>746</v>
      </c>
      <c r="K420" s="2" t="s">
        <v>2076</v>
      </c>
      <c r="M420" s="2">
        <v>1</v>
      </c>
    </row>
    <row r="422" spans="1:13" ht="15" customHeight="1" x14ac:dyDescent="0.25">
      <c r="A422" s="2" t="str">
        <f>IF(EXACT(F422,"N"),CONCATENATE("R",ROW()),IF(EXACT(F422,"Y"),CONCATENATE("R",ROW()),""))</f>
        <v>R422</v>
      </c>
      <c r="B422" s="2" t="s">
        <v>2580</v>
      </c>
      <c r="C422" s="2" t="s">
        <v>78</v>
      </c>
      <c r="D422" s="2" t="s">
        <v>827</v>
      </c>
      <c r="E422" s="2" t="s">
        <v>832</v>
      </c>
      <c r="F422" s="2" t="s">
        <v>776</v>
      </c>
      <c r="G422" s="2">
        <v>2504814051</v>
      </c>
      <c r="H422" s="2" t="s">
        <v>833</v>
      </c>
      <c r="I422" s="2" t="s">
        <v>834</v>
      </c>
      <c r="J422" s="2" t="s">
        <v>835</v>
      </c>
      <c r="K422" s="2" t="s">
        <v>2076</v>
      </c>
      <c r="M422" s="2">
        <v>1</v>
      </c>
    </row>
    <row r="424" spans="1:13" ht="15" customHeight="1" x14ac:dyDescent="0.25">
      <c r="A424" s="2" t="str">
        <f>IF(EXACT(F424,"N"),CONCATENATE("R",ROW()),IF(EXACT(F424,"Y"),CONCATENATE("R",ROW()),""))</f>
        <v>R424</v>
      </c>
      <c r="B424" s="2" t="s">
        <v>2581</v>
      </c>
      <c r="C424" s="29" t="s">
        <v>2145</v>
      </c>
      <c r="E424" s="2" t="s">
        <v>376</v>
      </c>
      <c r="F424" s="2" t="s">
        <v>746</v>
      </c>
      <c r="K424" s="2" t="s">
        <v>2076</v>
      </c>
      <c r="M424" s="2">
        <v>1</v>
      </c>
    </row>
    <row r="425" spans="1:13" ht="15" customHeight="1" x14ac:dyDescent="0.25">
      <c r="C425" s="3"/>
    </row>
    <row r="426" spans="1:13" ht="15" customHeight="1" x14ac:dyDescent="0.25">
      <c r="A426" s="2" t="str">
        <f t="shared" ref="A426:A444" si="3">IF(EXACT(F426,"N"),CONCATENATE("R",ROW()),IF(EXACT(F426,"Y"),CONCATENATE("R",ROW()),""))</f>
        <v>R426</v>
      </c>
      <c r="B426" s="2" t="s">
        <v>2582</v>
      </c>
      <c r="C426" s="3" t="s">
        <v>2151</v>
      </c>
      <c r="E426" s="2" t="s">
        <v>376</v>
      </c>
      <c r="F426" s="2" t="s">
        <v>746</v>
      </c>
      <c r="K426" s="2" t="s">
        <v>2076</v>
      </c>
      <c r="M426" s="2">
        <v>1</v>
      </c>
    </row>
    <row r="427" spans="1:13" ht="15" customHeight="1" x14ac:dyDescent="0.25">
      <c r="C427" s="3"/>
    </row>
    <row r="428" spans="1:13" ht="15" customHeight="1" x14ac:dyDescent="0.25">
      <c r="A428" s="2" t="str">
        <f>IF(EXACT(F428,"N"),CONCATENATE("R",ROW()),IF(EXACT(F428,"Y"),CONCATENATE("R",ROW()),""))</f>
        <v>R428</v>
      </c>
      <c r="B428" s="2" t="s">
        <v>2583</v>
      </c>
      <c r="C428" s="3" t="s">
        <v>2097</v>
      </c>
      <c r="E428" s="2" t="s">
        <v>376</v>
      </c>
      <c r="F428" s="2" t="s">
        <v>746</v>
      </c>
      <c r="K428" s="2" t="s">
        <v>2076</v>
      </c>
      <c r="M428" s="2">
        <v>1</v>
      </c>
    </row>
    <row r="429" spans="1:13" ht="15" customHeight="1" x14ac:dyDescent="0.25">
      <c r="C429" s="3"/>
    </row>
    <row r="430" spans="1:13" ht="15" customHeight="1" x14ac:dyDescent="0.25">
      <c r="A430" s="2" t="str">
        <f t="shared" si="3"/>
        <v>R430</v>
      </c>
      <c r="B430" s="2" t="s">
        <v>2584</v>
      </c>
      <c r="C430" s="3" t="s">
        <v>2152</v>
      </c>
      <c r="D430" s="2" t="s">
        <v>2107</v>
      </c>
      <c r="E430" s="2" t="s">
        <v>376</v>
      </c>
      <c r="F430" s="2" t="s">
        <v>746</v>
      </c>
      <c r="K430" s="2" t="s">
        <v>2076</v>
      </c>
      <c r="M430" s="2">
        <v>1</v>
      </c>
    </row>
    <row r="431" spans="1:13" ht="15" customHeight="1" x14ac:dyDescent="0.25">
      <c r="C431" s="3"/>
    </row>
    <row r="432" spans="1:13" ht="15" customHeight="1" x14ac:dyDescent="0.25">
      <c r="A432" s="2" t="str">
        <f t="shared" si="3"/>
        <v>R432</v>
      </c>
      <c r="B432" s="2" t="s">
        <v>2585</v>
      </c>
      <c r="C432" s="3" t="s">
        <v>2146</v>
      </c>
      <c r="D432" s="2" t="s">
        <v>2266</v>
      </c>
      <c r="E432" s="2" t="s">
        <v>376</v>
      </c>
      <c r="F432" s="2" t="s">
        <v>746</v>
      </c>
      <c r="K432" s="2" t="s">
        <v>2076</v>
      </c>
      <c r="M432" s="2">
        <v>1</v>
      </c>
    </row>
    <row r="433" spans="1:13" ht="15" customHeight="1" x14ac:dyDescent="0.25">
      <c r="C433" s="3"/>
    </row>
    <row r="434" spans="1:13" ht="15" customHeight="1" x14ac:dyDescent="0.25">
      <c r="A434" s="2" t="str">
        <f t="shared" si="3"/>
        <v>R434</v>
      </c>
      <c r="B434" s="2" t="s">
        <v>2586</v>
      </c>
      <c r="C434" s="3" t="s">
        <v>2148</v>
      </c>
      <c r="D434" s="2" t="s">
        <v>2265</v>
      </c>
      <c r="E434" s="2" t="s">
        <v>376</v>
      </c>
      <c r="F434" s="2" t="s">
        <v>746</v>
      </c>
      <c r="M434" s="2">
        <v>1</v>
      </c>
    </row>
    <row r="435" spans="1:13" ht="15" customHeight="1" x14ac:dyDescent="0.25">
      <c r="C435" s="3"/>
    </row>
    <row r="436" spans="1:13" ht="15" customHeight="1" x14ac:dyDescent="0.25">
      <c r="A436" s="2" t="str">
        <f t="shared" si="3"/>
        <v>R436</v>
      </c>
      <c r="B436" s="2" t="s">
        <v>2587</v>
      </c>
      <c r="C436" s="3" t="s">
        <v>2108</v>
      </c>
      <c r="D436" s="2" t="s">
        <v>2264</v>
      </c>
      <c r="E436" s="2" t="s">
        <v>376</v>
      </c>
      <c r="F436" s="2" t="s">
        <v>746</v>
      </c>
      <c r="M436" s="2">
        <v>1</v>
      </c>
    </row>
    <row r="437" spans="1:13" ht="15" customHeight="1" x14ac:dyDescent="0.25">
      <c r="C437" s="3"/>
    </row>
    <row r="438" spans="1:13" ht="15" customHeight="1" x14ac:dyDescent="0.25">
      <c r="A438" s="2" t="str">
        <f t="shared" si="3"/>
        <v>R438</v>
      </c>
      <c r="B438" s="2" t="s">
        <v>2588</v>
      </c>
      <c r="C438" s="3" t="s">
        <v>2103</v>
      </c>
      <c r="D438" s="2" t="s">
        <v>2106</v>
      </c>
      <c r="E438" s="2" t="s">
        <v>376</v>
      </c>
      <c r="F438" s="2" t="s">
        <v>746</v>
      </c>
      <c r="M438" s="2">
        <v>1</v>
      </c>
    </row>
    <row r="439" spans="1:13" ht="15" customHeight="1" x14ac:dyDescent="0.25">
      <c r="C439" s="3"/>
    </row>
    <row r="440" spans="1:13" ht="15" customHeight="1" x14ac:dyDescent="0.25">
      <c r="A440" s="2" t="str">
        <f t="shared" si="3"/>
        <v>R440</v>
      </c>
      <c r="B440" s="2" t="s">
        <v>2584</v>
      </c>
      <c r="C440" s="3" t="s">
        <v>2104</v>
      </c>
      <c r="D440" s="2" t="s">
        <v>2107</v>
      </c>
      <c r="E440" s="2" t="s">
        <v>376</v>
      </c>
      <c r="F440" s="2" t="s">
        <v>746</v>
      </c>
      <c r="M440" s="2">
        <v>1</v>
      </c>
    </row>
    <row r="441" spans="1:13" ht="15" customHeight="1" x14ac:dyDescent="0.25">
      <c r="C441" s="3"/>
    </row>
    <row r="442" spans="1:13" ht="15" customHeight="1" x14ac:dyDescent="0.25">
      <c r="A442" s="2" t="str">
        <f t="shared" si="3"/>
        <v>R442</v>
      </c>
      <c r="B442" s="2" t="s">
        <v>2585</v>
      </c>
      <c r="C442" s="3" t="s">
        <v>2147</v>
      </c>
      <c r="D442" s="2" t="s">
        <v>2105</v>
      </c>
      <c r="E442" s="2" t="s">
        <v>1005</v>
      </c>
      <c r="F442" s="2" t="s">
        <v>746</v>
      </c>
      <c r="G442" s="2">
        <v>2504813158</v>
      </c>
      <c r="H442" s="2" t="s">
        <v>1006</v>
      </c>
      <c r="I442" s="2" t="s">
        <v>1007</v>
      </c>
      <c r="J442" s="2" t="s">
        <v>1008</v>
      </c>
      <c r="K442" s="2" t="s">
        <v>2076</v>
      </c>
      <c r="M442" s="2">
        <v>1</v>
      </c>
    </row>
    <row r="443" spans="1:13" ht="15" customHeight="1" x14ac:dyDescent="0.25">
      <c r="C443" s="3"/>
    </row>
    <row r="444" spans="1:13" ht="15" customHeight="1" x14ac:dyDescent="0.25">
      <c r="A444" s="2" t="str">
        <f t="shared" si="3"/>
        <v>R444</v>
      </c>
      <c r="B444" s="2" t="s">
        <v>2589</v>
      </c>
      <c r="C444" s="3" t="s">
        <v>2153</v>
      </c>
      <c r="D444" s="2" t="s">
        <v>2157</v>
      </c>
      <c r="F444" s="2" t="s">
        <v>746</v>
      </c>
      <c r="M444" s="2">
        <v>4</v>
      </c>
    </row>
    <row r="445" spans="1:13" ht="15" customHeight="1" x14ac:dyDescent="0.25">
      <c r="C445" s="2" t="s">
        <v>2271</v>
      </c>
      <c r="D445" s="2" t="s">
        <v>1892</v>
      </c>
      <c r="E445" s="2" t="s">
        <v>1009</v>
      </c>
      <c r="G445" s="2">
        <v>2504814167</v>
      </c>
      <c r="H445" s="2" t="s">
        <v>1010</v>
      </c>
      <c r="I445" s="2" t="s">
        <v>1011</v>
      </c>
      <c r="J445" s="2" t="s">
        <v>1012</v>
      </c>
      <c r="K445" s="2" t="s">
        <v>2076</v>
      </c>
    </row>
    <row r="446" spans="1:13" ht="15" customHeight="1" x14ac:dyDescent="0.25">
      <c r="C446" s="2" t="s">
        <v>2268</v>
      </c>
      <c r="D446" s="2" t="s">
        <v>1889</v>
      </c>
      <c r="E446" s="2" t="s">
        <v>1013</v>
      </c>
      <c r="G446" s="2">
        <v>2504813975</v>
      </c>
      <c r="H446" s="2" t="s">
        <v>1014</v>
      </c>
      <c r="I446" s="2" t="s">
        <v>1015</v>
      </c>
      <c r="J446" s="2" t="s">
        <v>1016</v>
      </c>
      <c r="K446" s="2" t="s">
        <v>2076</v>
      </c>
    </row>
    <row r="447" spans="1:13" ht="15" customHeight="1" x14ac:dyDescent="0.25">
      <c r="C447" s="2" t="s">
        <v>2269</v>
      </c>
      <c r="D447" s="2" t="s">
        <v>2185</v>
      </c>
      <c r="E447" s="2" t="s">
        <v>1017</v>
      </c>
      <c r="G447" s="2">
        <v>2504814166</v>
      </c>
      <c r="H447" s="2" t="s">
        <v>1018</v>
      </c>
      <c r="I447" s="2" t="s">
        <v>1019</v>
      </c>
      <c r="J447" s="2" t="s">
        <v>1020</v>
      </c>
      <c r="K447" s="2" t="s">
        <v>2076</v>
      </c>
    </row>
    <row r="448" spans="1:13" ht="15" customHeight="1" x14ac:dyDescent="0.25">
      <c r="C448" s="2" t="s">
        <v>2270</v>
      </c>
      <c r="D448" s="2" t="s">
        <v>2267</v>
      </c>
      <c r="E448" s="2" t="s">
        <v>798</v>
      </c>
      <c r="G448" s="2">
        <v>2504813161</v>
      </c>
      <c r="H448" s="2" t="s">
        <v>799</v>
      </c>
      <c r="I448" s="2" t="s">
        <v>1021</v>
      </c>
      <c r="J448" s="2" t="s">
        <v>1022</v>
      </c>
      <c r="K448" s="2" t="s">
        <v>2076</v>
      </c>
    </row>
    <row r="450" spans="1:13" ht="15" customHeight="1" x14ac:dyDescent="0.25">
      <c r="A450" s="2" t="str">
        <f>IF(EXACT(F450,"N"),CONCATENATE("R",ROW()),IF(EXACT(F450,"Y"),CONCATENATE("R",ROW()),""))</f>
        <v>R450</v>
      </c>
      <c r="B450" s="2" t="s">
        <v>2590</v>
      </c>
      <c r="C450" s="2" t="s">
        <v>183</v>
      </c>
      <c r="D450" s="2" t="s">
        <v>2157</v>
      </c>
      <c r="F450" s="2" t="s">
        <v>746</v>
      </c>
      <c r="K450" s="2" t="s">
        <v>2076</v>
      </c>
      <c r="M450" s="2">
        <v>4</v>
      </c>
    </row>
    <row r="451" spans="1:13" ht="15" customHeight="1" x14ac:dyDescent="0.25">
      <c r="A451" s="2" t="str">
        <f>IF(EXACT(F454,"N"),CONCATENATE("R",ROW()),IF(EXACT(F454,"Y"),CONCATENATE("R",ROW()),""))</f>
        <v/>
      </c>
      <c r="C451" s="2" t="s">
        <v>2276</v>
      </c>
      <c r="D451" s="2" t="s">
        <v>2272</v>
      </c>
      <c r="E451" s="2" t="s">
        <v>376</v>
      </c>
      <c r="K451" s="2" t="s">
        <v>2076</v>
      </c>
    </row>
    <row r="452" spans="1:13" ht="15" customHeight="1" x14ac:dyDescent="0.25">
      <c r="A452" s="2" t="str">
        <f>IF(EXACT(F452,"N"),CONCATENATE("R",ROW()),IF(EXACT(F452,"Y"),CONCATENATE("R",ROW()),""))</f>
        <v/>
      </c>
      <c r="C452" s="2" t="s">
        <v>2277</v>
      </c>
      <c r="D452" s="2" t="s">
        <v>2273</v>
      </c>
      <c r="E452" s="2" t="s">
        <v>1013</v>
      </c>
      <c r="G452" s="2">
        <v>2504813975</v>
      </c>
      <c r="H452" s="2" t="s">
        <v>1014</v>
      </c>
      <c r="I452" s="2" t="s">
        <v>1015</v>
      </c>
      <c r="J452" s="2" t="s">
        <v>1016</v>
      </c>
      <c r="K452" s="2" t="s">
        <v>2076</v>
      </c>
    </row>
    <row r="453" spans="1:13" ht="15" customHeight="1" x14ac:dyDescent="0.25">
      <c r="C453" s="2" t="s">
        <v>2278</v>
      </c>
      <c r="D453" s="2" t="s">
        <v>2274</v>
      </c>
      <c r="E453" s="2" t="s">
        <v>361</v>
      </c>
      <c r="G453" s="2">
        <v>2504814792</v>
      </c>
      <c r="H453" s="2" t="s">
        <v>362</v>
      </c>
      <c r="I453" s="2" t="s">
        <v>363</v>
      </c>
      <c r="J453" s="2" t="s">
        <v>364</v>
      </c>
      <c r="K453" s="2" t="s">
        <v>2076</v>
      </c>
    </row>
    <row r="454" spans="1:13" ht="15" customHeight="1" x14ac:dyDescent="0.25">
      <c r="C454" s="2" t="s">
        <v>2279</v>
      </c>
      <c r="D454" s="2" t="s">
        <v>2275</v>
      </c>
      <c r="E454" s="2" t="s">
        <v>1023</v>
      </c>
      <c r="G454" s="2">
        <v>2504813973</v>
      </c>
      <c r="H454" s="2" t="s">
        <v>1024</v>
      </c>
      <c r="I454" s="2" t="s">
        <v>1025</v>
      </c>
      <c r="J454" s="2" t="s">
        <v>1026</v>
      </c>
      <c r="K454" s="2" t="s">
        <v>2076</v>
      </c>
    </row>
    <row r="456" spans="1:13" s="27" customFormat="1" ht="15" customHeight="1" x14ac:dyDescent="0.25">
      <c r="C456" s="27" t="s">
        <v>2078</v>
      </c>
    </row>
    <row r="457" spans="1:13" ht="15" customHeight="1" x14ac:dyDescent="0.25">
      <c r="A457" s="2" t="str">
        <f>IF(EXACT(F457,"N"),CONCATENATE("R",ROW()),IF(EXACT(F457,"Y"),CONCATENATE("R",ROW()),""))</f>
        <v>R457</v>
      </c>
      <c r="B457" s="2" t="s">
        <v>2489</v>
      </c>
      <c r="C457" s="2" t="s">
        <v>154</v>
      </c>
      <c r="D457" s="2" t="s">
        <v>873</v>
      </c>
      <c r="E457" s="2" t="s">
        <v>854</v>
      </c>
      <c r="F457" s="2" t="s">
        <v>746</v>
      </c>
      <c r="G457" s="2">
        <v>2504813093</v>
      </c>
      <c r="H457" s="2" t="s">
        <v>855</v>
      </c>
      <c r="I457" s="2" t="s">
        <v>856</v>
      </c>
      <c r="J457" s="2" t="s">
        <v>857</v>
      </c>
      <c r="K457" s="2" t="s">
        <v>2076</v>
      </c>
      <c r="M457" s="2">
        <v>1</v>
      </c>
    </row>
    <row r="458" spans="1:13" ht="15" customHeight="1" x14ac:dyDescent="0.25">
      <c r="A458" s="2" t="str">
        <f>IF(EXACT(F458,"N"),CONCATENATE("R",ROW()),IF(EXACT(F458,"Y"),CONCATENATE("R",ROW()),""))</f>
        <v/>
      </c>
      <c r="E458" s="2" t="s">
        <v>858</v>
      </c>
      <c r="G458" s="2">
        <v>2504813094</v>
      </c>
      <c r="H458" s="2" t="s">
        <v>859</v>
      </c>
      <c r="I458" s="2" t="s">
        <v>860</v>
      </c>
      <c r="J458" s="2" t="s">
        <v>861</v>
      </c>
      <c r="K458" s="2" t="s">
        <v>2076</v>
      </c>
    </row>
    <row r="460" spans="1:13" ht="15" customHeight="1" x14ac:dyDescent="0.25">
      <c r="A460" s="2" t="str">
        <f>IF(EXACT(F460,"N"),CONCATENATE("R",ROW()),IF(EXACT(F460,"Y"),CONCATENATE("R",ROW()),""))</f>
        <v>R460</v>
      </c>
      <c r="B460" s="2" t="s">
        <v>2490</v>
      </c>
      <c r="C460" s="2" t="s">
        <v>158</v>
      </c>
      <c r="D460" s="2" t="s">
        <v>874</v>
      </c>
      <c r="E460" s="2" t="s">
        <v>862</v>
      </c>
      <c r="F460" s="2" t="s">
        <v>746</v>
      </c>
      <c r="G460" s="2">
        <v>2504813092</v>
      </c>
      <c r="H460" s="2" t="s">
        <v>863</v>
      </c>
      <c r="I460" s="2" t="s">
        <v>864</v>
      </c>
      <c r="J460" s="2" t="s">
        <v>865</v>
      </c>
      <c r="K460" s="2" t="s">
        <v>2076</v>
      </c>
      <c r="M460" s="2">
        <v>1</v>
      </c>
    </row>
    <row r="461" spans="1:13" ht="15" customHeight="1" x14ac:dyDescent="0.25">
      <c r="A461" s="2" t="str">
        <f>IF(EXACT(F461,"N"),CONCATENATE("R",ROW()),IF(EXACT(F461,"Y"),CONCATENATE("R",ROW()),""))</f>
        <v/>
      </c>
      <c r="E461" s="2" t="s">
        <v>862</v>
      </c>
      <c r="G461" s="2">
        <v>2504814771</v>
      </c>
      <c r="H461" s="2" t="s">
        <v>866</v>
      </c>
      <c r="I461" s="2" t="s">
        <v>867</v>
      </c>
      <c r="J461" s="2" t="s">
        <v>868</v>
      </c>
      <c r="K461" s="2" t="s">
        <v>2076</v>
      </c>
    </row>
    <row r="463" spans="1:13" ht="15" customHeight="1" x14ac:dyDescent="0.25">
      <c r="A463" s="2" t="str">
        <f>IF(EXACT(F463,"N"),CONCATENATE("R",ROW()),IF(EXACT(F463,"Y"),CONCATENATE("R",ROW()),""))</f>
        <v>R463</v>
      </c>
      <c r="B463" s="2" t="s">
        <v>2491</v>
      </c>
      <c r="C463" s="2" t="s">
        <v>156</v>
      </c>
      <c r="D463" s="2" t="s">
        <v>875</v>
      </c>
      <c r="E463" s="2" t="s">
        <v>869</v>
      </c>
      <c r="F463" s="2" t="s">
        <v>746</v>
      </c>
      <c r="G463" s="2">
        <v>2504813932</v>
      </c>
      <c r="H463" s="2" t="s">
        <v>870</v>
      </c>
      <c r="I463" s="2" t="s">
        <v>871</v>
      </c>
      <c r="J463" s="2" t="s">
        <v>872</v>
      </c>
      <c r="K463" s="2" t="s">
        <v>2076</v>
      </c>
      <c r="M463" s="2">
        <v>1</v>
      </c>
    </row>
    <row r="465" spans="1:13" ht="15" customHeight="1" x14ac:dyDescent="0.25">
      <c r="A465" s="2" t="str">
        <f>IF(EXACT(F465,"N"),CONCATENATE("R",ROW()),IF(EXACT(F465,"Y"),CONCATENATE("R",ROW()),""))</f>
        <v>R465</v>
      </c>
      <c r="B465" s="2" t="s">
        <v>2492</v>
      </c>
      <c r="C465" s="2" t="s">
        <v>157</v>
      </c>
      <c r="D465" s="2" t="s">
        <v>880</v>
      </c>
      <c r="E465" s="2" t="s">
        <v>876</v>
      </c>
      <c r="F465" s="2" t="s">
        <v>746</v>
      </c>
      <c r="G465" s="2">
        <v>2504813095</v>
      </c>
      <c r="H465" s="2" t="s">
        <v>877</v>
      </c>
      <c r="I465" s="2" t="s">
        <v>878</v>
      </c>
      <c r="J465" s="2" t="s">
        <v>879</v>
      </c>
      <c r="K465" s="2" t="s">
        <v>2076</v>
      </c>
      <c r="M465" s="2">
        <v>1</v>
      </c>
    </row>
    <row r="467" spans="1:13" ht="15" customHeight="1" x14ac:dyDescent="0.25">
      <c r="A467" s="2" t="str">
        <f>IF(EXACT(F467,"N"),CONCATENATE("R",ROW()),IF(EXACT(F467,"Y"),CONCATENATE("R",ROW()),""))</f>
        <v>R467</v>
      </c>
      <c r="B467" s="2" t="s">
        <v>2493</v>
      </c>
      <c r="C467" s="2" t="s">
        <v>153</v>
      </c>
      <c r="D467" s="2" t="s">
        <v>885</v>
      </c>
      <c r="E467" s="2" t="s">
        <v>881</v>
      </c>
      <c r="F467" s="2" t="s">
        <v>746</v>
      </c>
      <c r="G467" s="2">
        <v>2504813096</v>
      </c>
      <c r="H467" s="2" t="s">
        <v>882</v>
      </c>
      <c r="I467" s="2" t="s">
        <v>883</v>
      </c>
      <c r="J467" s="2" t="s">
        <v>884</v>
      </c>
      <c r="K467" s="2" t="s">
        <v>2076</v>
      </c>
      <c r="M467" s="2">
        <v>1</v>
      </c>
    </row>
    <row r="469" spans="1:13" ht="15" customHeight="1" x14ac:dyDescent="0.25">
      <c r="A469" s="2" t="str">
        <f>IF(EXACT(F469,"N"),CONCATENATE("R",ROW()),IF(EXACT(F469,"Y"),CONCATENATE("R",ROW()),""))</f>
        <v>R469</v>
      </c>
      <c r="B469" s="2" t="s">
        <v>2349</v>
      </c>
      <c r="C469" s="2" t="s">
        <v>151</v>
      </c>
      <c r="D469" s="2" t="s">
        <v>890</v>
      </c>
      <c r="E469" s="2" t="s">
        <v>886</v>
      </c>
      <c r="F469" s="2" t="s">
        <v>746</v>
      </c>
      <c r="G469" s="2">
        <v>2504813644</v>
      </c>
      <c r="H469" s="2" t="s">
        <v>887</v>
      </c>
      <c r="I469" s="2" t="s">
        <v>888</v>
      </c>
      <c r="J469" s="2" t="s">
        <v>889</v>
      </c>
      <c r="K469" s="2" t="s">
        <v>2076</v>
      </c>
      <c r="M469" s="2">
        <v>1</v>
      </c>
    </row>
    <row r="471" spans="1:13" ht="15" customHeight="1" x14ac:dyDescent="0.25">
      <c r="A471" s="2" t="str">
        <f>IF(EXACT(F471,"N"),CONCATENATE("R",ROW()),IF(EXACT(F471,"Y"),CONCATENATE("R",ROW()),""))</f>
        <v>R471</v>
      </c>
      <c r="B471" s="2" t="s">
        <v>2494</v>
      </c>
      <c r="C471" s="2" t="s">
        <v>150</v>
      </c>
      <c r="D471" s="2" t="s">
        <v>895</v>
      </c>
      <c r="E471" s="2" t="s">
        <v>891</v>
      </c>
      <c r="F471" s="2" t="s">
        <v>746</v>
      </c>
      <c r="G471" s="2">
        <v>2504812995</v>
      </c>
      <c r="H471" s="2" t="s">
        <v>892</v>
      </c>
      <c r="I471" s="2" t="s">
        <v>893</v>
      </c>
      <c r="J471" s="2" t="s">
        <v>894</v>
      </c>
      <c r="K471" s="2" t="s">
        <v>2076</v>
      </c>
      <c r="M471" s="2">
        <v>1</v>
      </c>
    </row>
    <row r="473" spans="1:13" ht="15" customHeight="1" x14ac:dyDescent="0.25">
      <c r="A473" s="2" t="str">
        <f>IF(EXACT(F473,"N"),CONCATENATE("R",ROW()),IF(EXACT(F473,"Y"),CONCATENATE("R",ROW()),""))</f>
        <v>R473</v>
      </c>
      <c r="B473" s="2" t="s">
        <v>2495</v>
      </c>
      <c r="C473" s="2" t="s">
        <v>152</v>
      </c>
      <c r="D473" s="2" t="s">
        <v>900</v>
      </c>
      <c r="E473" s="2" t="s">
        <v>896</v>
      </c>
      <c r="F473" s="2" t="s">
        <v>746</v>
      </c>
      <c r="G473" s="2">
        <v>2504813774</v>
      </c>
      <c r="H473" s="2" t="s">
        <v>897</v>
      </c>
      <c r="I473" s="2" t="s">
        <v>898</v>
      </c>
      <c r="J473" s="2" t="s">
        <v>899</v>
      </c>
      <c r="K473" s="2" t="s">
        <v>2076</v>
      </c>
      <c r="M473" s="2">
        <v>1</v>
      </c>
    </row>
    <row r="475" spans="1:13" ht="15" customHeight="1" x14ac:dyDescent="0.25">
      <c r="A475" s="2" t="str">
        <f>IF(EXACT(F475,"N"),CONCATENATE("R",ROW()),IF(EXACT(F475,"Y"),CONCATENATE("R",ROW()),""))</f>
        <v>R475</v>
      </c>
      <c r="B475" s="2" t="s">
        <v>2348</v>
      </c>
      <c r="C475" s="2" t="s">
        <v>159</v>
      </c>
      <c r="D475" s="2" t="s">
        <v>901</v>
      </c>
      <c r="E475" s="2" t="s">
        <v>376</v>
      </c>
      <c r="F475" s="2" t="s">
        <v>746</v>
      </c>
      <c r="K475" s="2" t="s">
        <v>2076</v>
      </c>
      <c r="M475" s="2">
        <v>1</v>
      </c>
    </row>
    <row r="477" spans="1:13" ht="15" customHeight="1" x14ac:dyDescent="0.25">
      <c r="A477" s="2" t="str">
        <f>IF(EXACT(F477,"N"),CONCATENATE("R",ROW()),IF(EXACT(F477,"Y"),CONCATENATE("R",ROW()),""))</f>
        <v>R477</v>
      </c>
      <c r="B477" s="2" t="s">
        <v>2347</v>
      </c>
      <c r="C477" s="2" t="s">
        <v>164</v>
      </c>
      <c r="D477" s="2" t="s">
        <v>902</v>
      </c>
      <c r="E477" s="2" t="s">
        <v>376</v>
      </c>
      <c r="F477" s="2" t="s">
        <v>746</v>
      </c>
      <c r="K477" s="2" t="s">
        <v>2076</v>
      </c>
      <c r="M477" s="2">
        <v>1</v>
      </c>
    </row>
    <row r="479" spans="1:13" ht="15" customHeight="1" x14ac:dyDescent="0.25">
      <c r="A479" s="2" t="str">
        <f>IF(EXACT(F479,"N"),CONCATENATE("R",ROW()),IF(EXACT(F479,"Y"),CONCATENATE("R",ROW()),""))</f>
        <v>R479</v>
      </c>
      <c r="B479" s="2" t="s">
        <v>2496</v>
      </c>
      <c r="C479" s="2" t="s">
        <v>163</v>
      </c>
      <c r="D479" s="2" t="s">
        <v>903</v>
      </c>
      <c r="E479" s="2" t="s">
        <v>904</v>
      </c>
      <c r="F479" s="2" t="s">
        <v>746</v>
      </c>
      <c r="G479" s="2">
        <v>2504813354</v>
      </c>
      <c r="H479" s="2" t="s">
        <v>905</v>
      </c>
      <c r="I479" s="2" t="s">
        <v>906</v>
      </c>
      <c r="J479" s="2" t="s">
        <v>907</v>
      </c>
      <c r="K479" s="2" t="s">
        <v>2076</v>
      </c>
      <c r="M479" s="2">
        <v>1</v>
      </c>
    </row>
    <row r="481" spans="1:13" ht="15" customHeight="1" x14ac:dyDescent="0.25">
      <c r="A481" s="2" t="str">
        <f>IF(EXACT(F481,"N"),CONCATENATE("R",ROW()),IF(EXACT(F481,"Y"),CONCATENATE("R",ROW()),""))</f>
        <v>R481</v>
      </c>
      <c r="B481" s="2" t="s">
        <v>2346</v>
      </c>
      <c r="C481" s="2" t="s">
        <v>166</v>
      </c>
      <c r="D481" s="2" t="s">
        <v>908</v>
      </c>
      <c r="E481" s="2" t="s">
        <v>376</v>
      </c>
      <c r="F481" s="2" t="s">
        <v>746</v>
      </c>
      <c r="K481" s="2" t="s">
        <v>2076</v>
      </c>
      <c r="M481" s="2">
        <v>1</v>
      </c>
    </row>
    <row r="483" spans="1:13" ht="15" customHeight="1" x14ac:dyDescent="0.25">
      <c r="A483" s="2" t="str">
        <f>IF(EXACT(F483,"N"),CONCATENATE("R",ROW()),IF(EXACT(F483,"Y"),CONCATENATE("R",ROW()),""))</f>
        <v>R483</v>
      </c>
      <c r="B483" s="2" t="s">
        <v>2497</v>
      </c>
      <c r="C483" s="2" t="s">
        <v>162</v>
      </c>
      <c r="D483" s="2" t="s">
        <v>909</v>
      </c>
      <c r="E483" s="2" t="s">
        <v>910</v>
      </c>
      <c r="F483" s="2" t="s">
        <v>746</v>
      </c>
      <c r="G483" s="2">
        <v>2504813661</v>
      </c>
      <c r="H483" s="2" t="s">
        <v>911</v>
      </c>
      <c r="I483" s="2" t="s">
        <v>912</v>
      </c>
      <c r="J483" s="2" t="s">
        <v>913</v>
      </c>
      <c r="K483" s="2" t="s">
        <v>2076</v>
      </c>
      <c r="M483" s="2">
        <v>1</v>
      </c>
    </row>
    <row r="485" spans="1:13" ht="15" customHeight="1" x14ac:dyDescent="0.25">
      <c r="A485" s="2" t="str">
        <f>IF(EXACT(F485,"N"),CONCATENATE("R",ROW()),IF(EXACT(F485,"Y"),CONCATENATE("R",ROW()),""))</f>
        <v>R485</v>
      </c>
      <c r="B485" s="2" t="s">
        <v>2498</v>
      </c>
      <c r="C485" s="2" t="s">
        <v>161</v>
      </c>
      <c r="D485" s="2" t="s">
        <v>895</v>
      </c>
      <c r="E485" s="2" t="s">
        <v>891</v>
      </c>
      <c r="F485" s="2" t="s">
        <v>746</v>
      </c>
      <c r="G485" s="2">
        <v>2504812995</v>
      </c>
      <c r="H485" s="2" t="s">
        <v>892</v>
      </c>
      <c r="I485" s="2" t="s">
        <v>914</v>
      </c>
      <c r="J485" s="2" t="s">
        <v>894</v>
      </c>
      <c r="K485" s="2" t="s">
        <v>2076</v>
      </c>
      <c r="M485" s="2">
        <v>1</v>
      </c>
    </row>
    <row r="487" spans="1:13" ht="15" customHeight="1" x14ac:dyDescent="0.25">
      <c r="A487" s="2" t="str">
        <f>IF(EXACT(F487,"N"),CONCATENATE("R",ROW()),IF(EXACT(F487,"Y"),CONCATENATE("R",ROW()),""))</f>
        <v>R487</v>
      </c>
      <c r="B487" s="2" t="s">
        <v>2345</v>
      </c>
      <c r="C487" s="2" t="s">
        <v>160</v>
      </c>
      <c r="D487" s="2" t="s">
        <v>901</v>
      </c>
      <c r="E487" s="2" t="s">
        <v>376</v>
      </c>
      <c r="F487" s="2" t="s">
        <v>746</v>
      </c>
      <c r="K487" s="2" t="s">
        <v>2076</v>
      </c>
      <c r="M487" s="2">
        <v>1</v>
      </c>
    </row>
    <row r="489" spans="1:13" ht="15" customHeight="1" x14ac:dyDescent="0.25">
      <c r="A489" s="2" t="str">
        <f>IF(EXACT(F489,"N"),CONCATENATE("R",ROW()),IF(EXACT(F489,"Y"),CONCATENATE("R",ROW()),""))</f>
        <v>R489</v>
      </c>
      <c r="B489" s="2" t="s">
        <v>2499</v>
      </c>
      <c r="C489" s="2" t="s">
        <v>176</v>
      </c>
      <c r="D489" s="2" t="s">
        <v>915</v>
      </c>
      <c r="E489" s="2" t="s">
        <v>916</v>
      </c>
      <c r="F489" s="2" t="s">
        <v>776</v>
      </c>
      <c r="G489" s="2">
        <v>2504813723</v>
      </c>
      <c r="H489" s="2" t="s">
        <v>917</v>
      </c>
      <c r="I489" s="2" t="s">
        <v>918</v>
      </c>
      <c r="J489" s="2" t="s">
        <v>919</v>
      </c>
      <c r="K489" s="2" t="s">
        <v>2076</v>
      </c>
      <c r="M489" s="2">
        <v>1</v>
      </c>
    </row>
    <row r="491" spans="1:13" ht="15" customHeight="1" x14ac:dyDescent="0.25">
      <c r="A491" s="2" t="str">
        <f>IF(EXACT(F491,"N"),CONCATENATE("R",ROW()),IF(EXACT(F491,"Y"),CONCATENATE("R",ROW()),""))</f>
        <v>R491</v>
      </c>
      <c r="B491" s="2" t="s">
        <v>2500</v>
      </c>
      <c r="C491" s="2" t="s">
        <v>141</v>
      </c>
      <c r="D491" s="2" t="s">
        <v>920</v>
      </c>
      <c r="E491" s="2" t="s">
        <v>921</v>
      </c>
      <c r="F491" s="2" t="s">
        <v>746</v>
      </c>
      <c r="G491" s="2">
        <v>2504813722</v>
      </c>
      <c r="H491" s="2" t="s">
        <v>922</v>
      </c>
      <c r="I491" s="2" t="s">
        <v>923</v>
      </c>
      <c r="J491" s="2" t="s">
        <v>924</v>
      </c>
      <c r="K491" s="2" t="s">
        <v>2076</v>
      </c>
      <c r="M491" s="2">
        <v>1</v>
      </c>
    </row>
    <row r="493" spans="1:13" ht="15" customHeight="1" x14ac:dyDescent="0.25">
      <c r="A493" s="2" t="str">
        <f>IF(EXACT(F493,"N"),CONCATENATE("R",ROW()),IF(EXACT(F493,"Y"),CONCATENATE("R",ROW()),""))</f>
        <v>R493</v>
      </c>
      <c r="B493" s="2" t="s">
        <v>2501</v>
      </c>
      <c r="C493" s="2" t="s">
        <v>144</v>
      </c>
      <c r="D493" s="2" t="s">
        <v>925</v>
      </c>
      <c r="E493" s="2" t="s">
        <v>926</v>
      </c>
      <c r="F493" s="2" t="s">
        <v>746</v>
      </c>
      <c r="G493" s="2">
        <v>2504813717</v>
      </c>
      <c r="H493" s="2" t="s">
        <v>927</v>
      </c>
      <c r="I493" s="2" t="s">
        <v>928</v>
      </c>
      <c r="J493" s="2" t="s">
        <v>929</v>
      </c>
      <c r="K493" s="2" t="s">
        <v>2076</v>
      </c>
      <c r="M493" s="2">
        <v>1</v>
      </c>
    </row>
    <row r="494" spans="1:13" ht="15" customHeight="1" x14ac:dyDescent="0.25">
      <c r="A494" s="2" t="str">
        <f>IF(EXACT(F494,"N"),CONCATENATE("R",ROW()),IF(EXACT(F494,"Y"),CONCATENATE("R",ROW()),""))</f>
        <v/>
      </c>
      <c r="E494" s="2" t="s">
        <v>926</v>
      </c>
      <c r="G494" s="2">
        <v>2504813720</v>
      </c>
      <c r="H494" s="2" t="s">
        <v>930</v>
      </c>
      <c r="I494" s="2" t="s">
        <v>931</v>
      </c>
      <c r="J494" s="2" t="s">
        <v>932</v>
      </c>
      <c r="K494" s="2" t="s">
        <v>2076</v>
      </c>
    </row>
    <row r="496" spans="1:13" ht="15" customHeight="1" x14ac:dyDescent="0.25">
      <c r="A496" s="2" t="str">
        <f>IF(EXACT(F496,"N"),CONCATENATE("R",ROW()),IF(EXACT(F496,"Y"),CONCATENATE("R",ROW()),""))</f>
        <v>R496</v>
      </c>
      <c r="B496" s="2" t="s">
        <v>2502</v>
      </c>
      <c r="C496" s="2" t="s">
        <v>145</v>
      </c>
      <c r="D496" s="2" t="s">
        <v>933</v>
      </c>
      <c r="E496" s="2" t="s">
        <v>934</v>
      </c>
      <c r="F496" s="2" t="s">
        <v>746</v>
      </c>
      <c r="G496" s="2">
        <v>2504813737</v>
      </c>
      <c r="H496" s="2" t="s">
        <v>935</v>
      </c>
      <c r="I496" s="2" t="s">
        <v>936</v>
      </c>
      <c r="J496" s="2" t="s">
        <v>937</v>
      </c>
      <c r="K496" s="2" t="s">
        <v>2076</v>
      </c>
      <c r="M496" s="2">
        <v>1</v>
      </c>
    </row>
    <row r="497" spans="1:13" ht="15" customHeight="1" x14ac:dyDescent="0.25">
      <c r="A497" s="2" t="str">
        <f>IF(EXACT(F497,"N"),CONCATENATE("R",ROW()),IF(EXACT(F497,"Y"),CONCATENATE("R",ROW()),""))</f>
        <v/>
      </c>
      <c r="E497" s="2" t="s">
        <v>938</v>
      </c>
      <c r="G497" s="2">
        <v>2504813738</v>
      </c>
      <c r="H497" s="2" t="s">
        <v>939</v>
      </c>
      <c r="I497" s="2" t="s">
        <v>940</v>
      </c>
      <c r="J497" s="2" t="s">
        <v>941</v>
      </c>
      <c r="K497" s="2" t="s">
        <v>2076</v>
      </c>
    </row>
    <row r="499" spans="1:13" ht="15" customHeight="1" x14ac:dyDescent="0.25">
      <c r="A499" s="2" t="str">
        <f>IF(EXACT(F499,"N"),CONCATENATE("R",ROW()),IF(EXACT(F499,"Y"),CONCATENATE("R",ROW()),""))</f>
        <v>R499</v>
      </c>
      <c r="B499" s="2" t="s">
        <v>2503</v>
      </c>
      <c r="C499" s="2" t="s">
        <v>142</v>
      </c>
      <c r="D499" s="2" t="s">
        <v>942</v>
      </c>
      <c r="E499" s="2" t="s">
        <v>943</v>
      </c>
      <c r="F499" s="2" t="s">
        <v>746</v>
      </c>
      <c r="G499" s="2">
        <v>2504813714</v>
      </c>
      <c r="H499" s="2" t="s">
        <v>944</v>
      </c>
      <c r="I499" s="2" t="s">
        <v>945</v>
      </c>
      <c r="J499" s="2" t="s">
        <v>946</v>
      </c>
      <c r="K499" s="2" t="s">
        <v>2076</v>
      </c>
      <c r="M499" s="2">
        <v>1</v>
      </c>
    </row>
    <row r="501" spans="1:13" ht="15" customHeight="1" x14ac:dyDescent="0.25">
      <c r="A501" s="2" t="str">
        <f>IF(EXACT(F501,"N"),CONCATENATE("R",ROW()),IF(EXACT(F501,"Y"),CONCATENATE("R",ROW()),""))</f>
        <v>R501</v>
      </c>
      <c r="B501" s="2" t="s">
        <v>2504</v>
      </c>
      <c r="C501" s="2" t="s">
        <v>143</v>
      </c>
      <c r="D501" s="2" t="s">
        <v>947</v>
      </c>
      <c r="E501" s="2" t="s">
        <v>948</v>
      </c>
      <c r="F501" s="2" t="s">
        <v>746</v>
      </c>
      <c r="G501" s="2">
        <v>2504813715</v>
      </c>
      <c r="H501" s="2" t="s">
        <v>949</v>
      </c>
      <c r="I501" s="2" t="s">
        <v>950</v>
      </c>
      <c r="J501" s="2" t="s">
        <v>951</v>
      </c>
      <c r="K501" s="2" t="s">
        <v>2076</v>
      </c>
      <c r="M501" s="2">
        <v>1</v>
      </c>
    </row>
    <row r="502" spans="1:13" ht="15" customHeight="1" x14ac:dyDescent="0.25">
      <c r="A502" s="2" t="str">
        <f>IF(EXACT(F502,"N"),CONCATENATE("R",ROW()),IF(EXACT(F502,"Y"),CONCATENATE("R",ROW()),""))</f>
        <v/>
      </c>
      <c r="E502" s="2" t="s">
        <v>948</v>
      </c>
      <c r="G502" s="2">
        <v>2504813718</v>
      </c>
      <c r="H502" s="2" t="s">
        <v>952</v>
      </c>
      <c r="I502" s="2" t="s">
        <v>953</v>
      </c>
      <c r="J502" s="2" t="s">
        <v>954</v>
      </c>
      <c r="K502" s="2" t="s">
        <v>2076</v>
      </c>
    </row>
    <row r="504" spans="1:13" ht="15" customHeight="1" x14ac:dyDescent="0.25">
      <c r="A504" s="2" t="str">
        <f>IF(EXACT(F504,"N"),CONCATENATE("R",ROW()),IF(EXACT(F504,"Y"),CONCATENATE("R",ROW()),""))</f>
        <v>R504</v>
      </c>
      <c r="B504" s="2" t="s">
        <v>2505</v>
      </c>
      <c r="C504" s="2" t="s">
        <v>148</v>
      </c>
      <c r="D504" s="2" t="s">
        <v>955</v>
      </c>
      <c r="E504" s="2" t="s">
        <v>956</v>
      </c>
      <c r="F504" s="2" t="s">
        <v>746</v>
      </c>
      <c r="G504" s="2">
        <v>2504813725</v>
      </c>
      <c r="H504" s="2" t="s">
        <v>957</v>
      </c>
      <c r="I504" s="2" t="s">
        <v>958</v>
      </c>
      <c r="J504" s="2" t="s">
        <v>959</v>
      </c>
      <c r="K504" s="2" t="s">
        <v>2076</v>
      </c>
      <c r="M504" s="2">
        <v>1</v>
      </c>
    </row>
    <row r="506" spans="1:13" ht="15" customHeight="1" x14ac:dyDescent="0.25">
      <c r="A506" s="2" t="str">
        <f>IF(EXACT(F506,"N"),CONCATENATE("R",ROW()),IF(EXACT(F506,"Y"),CONCATENATE("R",ROW()),""))</f>
        <v>R506</v>
      </c>
      <c r="B506" s="2" t="s">
        <v>2506</v>
      </c>
      <c r="C506" s="2" t="s">
        <v>146</v>
      </c>
      <c r="D506" s="2" t="s">
        <v>451</v>
      </c>
      <c r="E506" s="2" t="s">
        <v>452</v>
      </c>
      <c r="F506" s="2" t="s">
        <v>746</v>
      </c>
      <c r="G506" s="2">
        <v>2504813325</v>
      </c>
      <c r="H506" s="2" t="s">
        <v>453</v>
      </c>
      <c r="I506" s="2" t="s">
        <v>960</v>
      </c>
      <c r="J506" s="2" t="s">
        <v>961</v>
      </c>
      <c r="K506" s="2" t="s">
        <v>2076</v>
      </c>
      <c r="M506" s="2">
        <v>1</v>
      </c>
    </row>
    <row r="508" spans="1:13" ht="15" customHeight="1" x14ac:dyDescent="0.25">
      <c r="A508" s="2" t="str">
        <f>IF(EXACT(F508,"N"),CONCATENATE("R",ROW()),IF(EXACT(F508,"Y"),CONCATENATE("R",ROW()),""))</f>
        <v>R508</v>
      </c>
      <c r="B508" s="2" t="s">
        <v>2507</v>
      </c>
      <c r="C508" s="2" t="s">
        <v>147</v>
      </c>
      <c r="D508" s="2" t="s">
        <v>962</v>
      </c>
      <c r="E508" s="2" t="s">
        <v>963</v>
      </c>
      <c r="F508" s="2" t="s">
        <v>746</v>
      </c>
      <c r="G508" s="2">
        <v>2504813726</v>
      </c>
      <c r="H508" s="2" t="s">
        <v>964</v>
      </c>
      <c r="I508" s="2" t="s">
        <v>965</v>
      </c>
      <c r="J508" s="2" t="s">
        <v>966</v>
      </c>
      <c r="K508" s="2" t="s">
        <v>2076</v>
      </c>
      <c r="M508" s="2">
        <v>1</v>
      </c>
    </row>
    <row r="510" spans="1:13" ht="15" customHeight="1" x14ac:dyDescent="0.25">
      <c r="A510" s="2" t="str">
        <f>IF(EXACT(F510,"N"),CONCATENATE("R",ROW()),IF(EXACT(F510,"Y"),CONCATENATE("R",ROW()),""))</f>
        <v>R510</v>
      </c>
      <c r="B510" s="2" t="s">
        <v>2508</v>
      </c>
      <c r="C510" s="2" t="s">
        <v>135</v>
      </c>
      <c r="D510" s="2" t="s">
        <v>962</v>
      </c>
      <c r="E510" s="2" t="s">
        <v>963</v>
      </c>
      <c r="F510" s="2" t="s">
        <v>746</v>
      </c>
      <c r="G510" s="2">
        <v>2504813726</v>
      </c>
      <c r="H510" s="2" t="s">
        <v>964</v>
      </c>
      <c r="I510" s="2" t="s">
        <v>965</v>
      </c>
      <c r="J510" s="2" t="s">
        <v>966</v>
      </c>
      <c r="K510" s="2" t="s">
        <v>2076</v>
      </c>
      <c r="M510" s="2">
        <v>1</v>
      </c>
    </row>
    <row r="512" spans="1:13" ht="15" customHeight="1" x14ac:dyDescent="0.25">
      <c r="A512" s="2" t="str">
        <f>IF(EXACT(F512,"N"),CONCATENATE("R",ROW()),IF(EXACT(F512,"Y"),CONCATENATE("R",ROW()),""))</f>
        <v>R512</v>
      </c>
      <c r="B512" s="2" t="s">
        <v>2509</v>
      </c>
      <c r="C512" s="2" t="s">
        <v>136</v>
      </c>
      <c r="D512" s="2" t="s">
        <v>967</v>
      </c>
      <c r="E512" s="2" t="s">
        <v>968</v>
      </c>
      <c r="F512" s="2" t="s">
        <v>746</v>
      </c>
      <c r="G512" s="2">
        <v>2504813389</v>
      </c>
      <c r="H512" s="2" t="s">
        <v>969</v>
      </c>
      <c r="I512" s="2" t="s">
        <v>970</v>
      </c>
      <c r="J512" s="2" t="s">
        <v>971</v>
      </c>
      <c r="K512" s="2" t="s">
        <v>2076</v>
      </c>
      <c r="M512" s="2">
        <v>1</v>
      </c>
    </row>
    <row r="514" spans="1:13" ht="15" customHeight="1" x14ac:dyDescent="0.25">
      <c r="A514" s="2" t="str">
        <f>IF(EXACT(F514,"N"),CONCATENATE("R",ROW()),IF(EXACT(F514,"Y"),CONCATENATE("R",ROW()),""))</f>
        <v>R514</v>
      </c>
      <c r="B514" s="2" t="s">
        <v>2510</v>
      </c>
      <c r="C514" s="2" t="s">
        <v>138</v>
      </c>
      <c r="D514" s="2" t="s">
        <v>972</v>
      </c>
      <c r="E514" s="2" t="s">
        <v>973</v>
      </c>
      <c r="F514" s="2" t="s">
        <v>746</v>
      </c>
      <c r="G514" s="2">
        <v>2504813386</v>
      </c>
      <c r="H514" s="2" t="s">
        <v>974</v>
      </c>
      <c r="I514" s="2" t="s">
        <v>975</v>
      </c>
      <c r="J514" s="2" t="s">
        <v>976</v>
      </c>
      <c r="K514" s="2" t="s">
        <v>2076</v>
      </c>
      <c r="M514" s="2">
        <v>1</v>
      </c>
    </row>
    <row r="515" spans="1:13" ht="15" customHeight="1" x14ac:dyDescent="0.25">
      <c r="A515" s="2" t="str">
        <f>IF(EXACT(F515,"N"),CONCATENATE("R",ROW()),IF(EXACT(F515,"Y"),CONCATENATE("R",ROW()),""))</f>
        <v/>
      </c>
      <c r="E515" s="2" t="s">
        <v>977</v>
      </c>
      <c r="G515" s="2">
        <v>2504813387</v>
      </c>
      <c r="H515" s="2" t="s">
        <v>978</v>
      </c>
      <c r="I515" s="2" t="s">
        <v>979</v>
      </c>
      <c r="J515" s="2" t="s">
        <v>980</v>
      </c>
      <c r="K515" s="2" t="s">
        <v>2076</v>
      </c>
    </row>
    <row r="517" spans="1:13" ht="15" customHeight="1" x14ac:dyDescent="0.25">
      <c r="A517" s="2" t="str">
        <f>IF(EXACT(F517,"N"),CONCATENATE("R",ROW()),IF(EXACT(F517,"Y"),CONCATENATE("R",ROW()),""))</f>
        <v>R517</v>
      </c>
      <c r="B517" s="2" t="s">
        <v>2511</v>
      </c>
      <c r="C517" s="2" t="s">
        <v>132</v>
      </c>
      <c r="D517" s="2" t="s">
        <v>981</v>
      </c>
      <c r="E517" s="2" t="s">
        <v>982</v>
      </c>
      <c r="F517" s="2" t="s">
        <v>746</v>
      </c>
      <c r="G517" s="2">
        <v>2504813997</v>
      </c>
      <c r="H517" s="2" t="s">
        <v>983</v>
      </c>
      <c r="I517" s="2" t="s">
        <v>984</v>
      </c>
      <c r="J517" s="2" t="s">
        <v>985</v>
      </c>
      <c r="K517" s="2" t="s">
        <v>2076</v>
      </c>
      <c r="M517" s="2">
        <v>1</v>
      </c>
    </row>
    <row r="519" spans="1:13" ht="15" customHeight="1" x14ac:dyDescent="0.25">
      <c r="A519" s="2" t="str">
        <f>IF(EXACT(F519,"N"),CONCATENATE("R",ROW()),IF(EXACT(F519,"Y"),CONCATENATE("R",ROW()),""))</f>
        <v>R519</v>
      </c>
      <c r="B519" s="2" t="s">
        <v>2512</v>
      </c>
      <c r="C519" s="2" t="s">
        <v>134</v>
      </c>
      <c r="D519" s="2" t="s">
        <v>986</v>
      </c>
      <c r="E519" s="2" t="s">
        <v>376</v>
      </c>
      <c r="F519" s="2" t="s">
        <v>746</v>
      </c>
      <c r="K519" s="2" t="s">
        <v>2076</v>
      </c>
      <c r="M519" s="2">
        <v>1</v>
      </c>
    </row>
    <row r="521" spans="1:13" ht="15" customHeight="1" x14ac:dyDescent="0.25">
      <c r="A521" s="2" t="str">
        <f>IF(EXACT(F521,"N"),CONCATENATE("R",ROW()),IF(EXACT(F521,"Y"),CONCATENATE("R",ROW()),""))</f>
        <v>R521</v>
      </c>
      <c r="B521" s="2" t="s">
        <v>2513</v>
      </c>
      <c r="C521" s="2" t="s">
        <v>133</v>
      </c>
      <c r="D521" s="2" t="s">
        <v>895</v>
      </c>
      <c r="E521" s="2" t="s">
        <v>891</v>
      </c>
      <c r="F521" s="2" t="s">
        <v>746</v>
      </c>
      <c r="G521" s="2">
        <v>2504812995</v>
      </c>
      <c r="H521" s="2" t="s">
        <v>892</v>
      </c>
      <c r="I521" s="2" t="s">
        <v>893</v>
      </c>
      <c r="J521" s="2" t="s">
        <v>987</v>
      </c>
      <c r="K521" s="2" t="s">
        <v>2076</v>
      </c>
      <c r="M521" s="2">
        <v>1</v>
      </c>
    </row>
    <row r="523" spans="1:13" ht="15" customHeight="1" x14ac:dyDescent="0.25">
      <c r="A523" s="2" t="str">
        <f>IF(EXACT(F523,"N"),CONCATENATE("R",ROW()),IF(EXACT(F523,"Y"),CONCATENATE("R",ROW()),""))</f>
        <v>R523</v>
      </c>
      <c r="B523" s="2" t="s">
        <v>1653</v>
      </c>
      <c r="C523" s="2" t="s">
        <v>1654</v>
      </c>
      <c r="F523" s="2" t="s">
        <v>746</v>
      </c>
      <c r="K523" s="2" t="s">
        <v>2076</v>
      </c>
      <c r="M523" s="2">
        <v>1</v>
      </c>
    </row>
    <row r="525" spans="1:13" ht="15" customHeight="1" x14ac:dyDescent="0.25">
      <c r="A525" s="2" t="str">
        <f>IF(EXACT(F525,"N"),CONCATENATE("R",ROW()),IF(EXACT(F525,"Y"),CONCATENATE("R",ROW()),""))</f>
        <v>R525</v>
      </c>
      <c r="B525" s="2" t="s">
        <v>2514</v>
      </c>
      <c r="C525" s="2" t="s">
        <v>139</v>
      </c>
      <c r="D525" s="2" t="s">
        <v>992</v>
      </c>
      <c r="E525" s="2" t="s">
        <v>988</v>
      </c>
      <c r="F525" s="2" t="s">
        <v>746</v>
      </c>
      <c r="G525" s="2">
        <v>2504814295</v>
      </c>
      <c r="H525" s="2" t="s">
        <v>989</v>
      </c>
      <c r="I525" s="2" t="s">
        <v>990</v>
      </c>
      <c r="J525" s="2" t="s">
        <v>991</v>
      </c>
      <c r="K525" s="2" t="s">
        <v>2076</v>
      </c>
      <c r="M525" s="2">
        <v>1</v>
      </c>
    </row>
    <row r="527" spans="1:13" ht="15" customHeight="1" x14ac:dyDescent="0.25">
      <c r="A527" s="2" t="str">
        <f>IF(EXACT(F527,"N"),CONCATENATE("R",ROW()),IF(EXACT(F527,"Y"),CONCATENATE("R",ROW()),""))</f>
        <v>R527</v>
      </c>
      <c r="B527" s="2" t="s">
        <v>2344</v>
      </c>
      <c r="C527" s="2" t="s">
        <v>140</v>
      </c>
      <c r="D527" s="2" t="s">
        <v>901</v>
      </c>
      <c r="E527" s="2" t="s">
        <v>376</v>
      </c>
      <c r="F527" s="2" t="s">
        <v>746</v>
      </c>
      <c r="K527" s="2" t="s">
        <v>2076</v>
      </c>
      <c r="M527" s="2">
        <v>1</v>
      </c>
    </row>
    <row r="529" spans="1:13" ht="15" customHeight="1" x14ac:dyDescent="0.25">
      <c r="A529" s="2" t="str">
        <f>IF(EXACT(F529,"N"),CONCATENATE("R",ROW()),IF(EXACT(F529,"Y"),CONCATENATE("R",ROW()),""))</f>
        <v>R529</v>
      </c>
      <c r="B529" s="2" t="s">
        <v>2515</v>
      </c>
      <c r="C529" s="2" t="s">
        <v>137</v>
      </c>
      <c r="D529" s="2" t="s">
        <v>895</v>
      </c>
      <c r="E529" s="2" t="s">
        <v>891</v>
      </c>
      <c r="F529" s="2" t="s">
        <v>746</v>
      </c>
      <c r="G529" s="2">
        <v>2504812995</v>
      </c>
      <c r="H529" s="2" t="s">
        <v>892</v>
      </c>
      <c r="I529" s="2" t="s">
        <v>893</v>
      </c>
      <c r="J529" s="25" t="s">
        <v>987</v>
      </c>
      <c r="K529" s="2" t="s">
        <v>2076</v>
      </c>
      <c r="M529" s="2">
        <v>1</v>
      </c>
    </row>
    <row r="530" spans="1:13" ht="15" customHeight="1" x14ac:dyDescent="0.25">
      <c r="B530" s="3"/>
      <c r="C530" s="3"/>
    </row>
    <row r="531" spans="1:13" ht="15" customHeight="1" x14ac:dyDescent="0.25">
      <c r="A531" s="2" t="str">
        <f>IF(EXACT(F531,"N"),CONCATENATE("R",ROW()),IF(EXACT(F531,"Y"),CONCATENATE("R",ROW()),""))</f>
        <v>R531</v>
      </c>
      <c r="B531" s="3" t="s">
        <v>2516</v>
      </c>
      <c r="C531" s="3" t="str">
        <f>BIOMASS_Myell!X5</f>
        <v>1 myell_rRNA + 1 H2O = 0.16 AMP_deg + 0.22 UMP_deg + 0.35 CMP_deg + 0.27 GMP_deg</v>
      </c>
      <c r="F531" s="2" t="s">
        <v>746</v>
      </c>
      <c r="K531" s="2" t="s">
        <v>2076</v>
      </c>
      <c r="M531" s="2">
        <v>1</v>
      </c>
    </row>
    <row r="532" spans="1:13" ht="15" customHeight="1" x14ac:dyDescent="0.25">
      <c r="B532" s="3"/>
      <c r="C532" s="3"/>
    </row>
    <row r="533" spans="1:13" ht="15" customHeight="1" x14ac:dyDescent="0.25">
      <c r="A533" s="2" t="str">
        <f>IF(EXACT(F533,"N"),CONCATENATE("R",ROW()),IF(EXACT(F533,"Y"),CONCATENATE("R",ROW()),""))</f>
        <v>R533</v>
      </c>
      <c r="B533" s="2" t="s">
        <v>2517</v>
      </c>
      <c r="C533" s="2" t="s">
        <v>2339</v>
      </c>
      <c r="D533" s="2" t="s">
        <v>2157</v>
      </c>
      <c r="E533" s="2" t="s">
        <v>376</v>
      </c>
      <c r="F533" s="2" t="s">
        <v>746</v>
      </c>
      <c r="K533" s="2" t="s">
        <v>2076</v>
      </c>
      <c r="M533" s="2">
        <v>4</v>
      </c>
    </row>
    <row r="534" spans="1:13" ht="15" customHeight="1" x14ac:dyDescent="0.25">
      <c r="A534" s="2" t="str">
        <f t="shared" ref="A534:A568" si="4">IF(EXACT(F534,"N"),CONCATENATE("R",ROW()),IF(EXACT(F534,"Y"),CONCATENATE("R",ROW()),""))</f>
        <v/>
      </c>
      <c r="C534" s="2" t="s">
        <v>2285</v>
      </c>
      <c r="D534" s="2" t="s">
        <v>2280</v>
      </c>
      <c r="E534" s="2" t="s">
        <v>376</v>
      </c>
    </row>
    <row r="535" spans="1:13" ht="15" customHeight="1" x14ac:dyDescent="0.25">
      <c r="A535" s="2" t="str">
        <f t="shared" si="4"/>
        <v/>
      </c>
      <c r="C535" s="2" t="s">
        <v>2286</v>
      </c>
      <c r="D535" s="2" t="s">
        <v>2281</v>
      </c>
      <c r="G535" s="2">
        <v>2504813891</v>
      </c>
      <c r="H535" t="s">
        <v>2605</v>
      </c>
      <c r="I535" s="25" t="s">
        <v>2607</v>
      </c>
      <c r="J535" s="25" t="s">
        <v>2606</v>
      </c>
    </row>
    <row r="536" spans="1:13" ht="15" customHeight="1" x14ac:dyDescent="0.25">
      <c r="A536" s="2" t="str">
        <f t="shared" si="4"/>
        <v/>
      </c>
      <c r="C536" s="2" t="s">
        <v>2287</v>
      </c>
      <c r="D536" s="2" t="s">
        <v>2282</v>
      </c>
      <c r="E536" s="2" t="s">
        <v>376</v>
      </c>
    </row>
    <row r="537" spans="1:13" ht="15" customHeight="1" x14ac:dyDescent="0.25">
      <c r="A537" s="2" t="str">
        <f t="shared" si="4"/>
        <v/>
      </c>
      <c r="C537" s="2" t="s">
        <v>2288</v>
      </c>
      <c r="D537" s="2" t="s">
        <v>2283</v>
      </c>
      <c r="E537" s="2" t="s">
        <v>376</v>
      </c>
    </row>
    <row r="538" spans="1:13" ht="15" customHeight="1" x14ac:dyDescent="0.25">
      <c r="A538" s="2" t="str">
        <f t="shared" si="4"/>
        <v/>
      </c>
    </row>
    <row r="539" spans="1:13" ht="15" customHeight="1" x14ac:dyDescent="0.25">
      <c r="A539" s="2" t="str">
        <f t="shared" si="4"/>
        <v>R539</v>
      </c>
      <c r="B539" s="2" t="s">
        <v>2518</v>
      </c>
      <c r="C539" s="2" t="s">
        <v>2340</v>
      </c>
      <c r="D539" s="2" t="s">
        <v>2157</v>
      </c>
      <c r="E539" s="2" t="s">
        <v>376</v>
      </c>
      <c r="F539" s="2" t="s">
        <v>746</v>
      </c>
      <c r="K539" s="2" t="s">
        <v>2076</v>
      </c>
      <c r="M539" s="2">
        <v>3</v>
      </c>
    </row>
    <row r="540" spans="1:13" ht="15" customHeight="1" x14ac:dyDescent="0.25">
      <c r="A540" s="2" t="str">
        <f t="shared" si="4"/>
        <v/>
      </c>
      <c r="C540" s="2" t="s">
        <v>2303</v>
      </c>
      <c r="D540" s="2" t="s">
        <v>2280</v>
      </c>
      <c r="E540" s="2" t="s">
        <v>376</v>
      </c>
    </row>
    <row r="541" spans="1:13" ht="15" customHeight="1" x14ac:dyDescent="0.25">
      <c r="A541" s="2" t="str">
        <f t="shared" si="4"/>
        <v/>
      </c>
      <c r="C541" s="2" t="s">
        <v>2305</v>
      </c>
      <c r="D541" s="2" t="s">
        <v>2282</v>
      </c>
      <c r="E541" s="2" t="s">
        <v>376</v>
      </c>
    </row>
    <row r="542" spans="1:13" ht="15" customHeight="1" x14ac:dyDescent="0.25">
      <c r="A542" s="2" t="str">
        <f t="shared" si="4"/>
        <v/>
      </c>
      <c r="C542" s="2" t="s">
        <v>2306</v>
      </c>
      <c r="D542" s="2" t="s">
        <v>2304</v>
      </c>
      <c r="E542" s="2" t="s">
        <v>376</v>
      </c>
    </row>
    <row r="543" spans="1:13" ht="15" customHeight="1" x14ac:dyDescent="0.25">
      <c r="A543" s="2" t="str">
        <f t="shared" si="4"/>
        <v/>
      </c>
    </row>
    <row r="544" spans="1:13" ht="15" customHeight="1" x14ac:dyDescent="0.25">
      <c r="A544" s="2" t="str">
        <f t="shared" si="4"/>
        <v>R544</v>
      </c>
      <c r="B544" s="2" t="s">
        <v>2324</v>
      </c>
      <c r="C544" s="2" t="s">
        <v>2323</v>
      </c>
      <c r="D544" s="2" t="s">
        <v>2157</v>
      </c>
      <c r="E544" s="2" t="s">
        <v>376</v>
      </c>
      <c r="F544" s="2" t="s">
        <v>746</v>
      </c>
      <c r="M544" s="2">
        <v>7</v>
      </c>
    </row>
    <row r="545" spans="1:13" ht="15" customHeight="1" x14ac:dyDescent="0.25">
      <c r="A545" s="2" t="str">
        <f t="shared" si="4"/>
        <v/>
      </c>
      <c r="C545" s="2" t="s">
        <v>2289</v>
      </c>
      <c r="D545" s="2" t="s">
        <v>2284</v>
      </c>
      <c r="E545" s="2" t="s">
        <v>376</v>
      </c>
    </row>
    <row r="546" spans="1:13" ht="15" customHeight="1" x14ac:dyDescent="0.25">
      <c r="A546" s="2" t="str">
        <f t="shared" si="4"/>
        <v/>
      </c>
      <c r="C546" s="2" t="s">
        <v>2290</v>
      </c>
      <c r="D546" s="2" t="s">
        <v>2299</v>
      </c>
      <c r="E546" s="2" t="s">
        <v>376</v>
      </c>
    </row>
    <row r="547" spans="1:13" ht="15" customHeight="1" x14ac:dyDescent="0.25">
      <c r="A547" s="2" t="str">
        <f t="shared" si="4"/>
        <v/>
      </c>
      <c r="C547" s="2" t="s">
        <v>2291</v>
      </c>
      <c r="D547" s="2" t="s">
        <v>2300</v>
      </c>
      <c r="E547" s="2" t="s">
        <v>376</v>
      </c>
    </row>
    <row r="548" spans="1:13" ht="15" customHeight="1" x14ac:dyDescent="0.25">
      <c r="A548" s="2" t="str">
        <f t="shared" si="4"/>
        <v/>
      </c>
      <c r="C548" s="2" t="s">
        <v>2292</v>
      </c>
      <c r="D548" s="2" t="s">
        <v>2301</v>
      </c>
      <c r="E548" s="2" t="s">
        <v>376</v>
      </c>
    </row>
    <row r="549" spans="1:13" ht="15" customHeight="1" x14ac:dyDescent="0.25">
      <c r="A549" s="2" t="str">
        <f t="shared" si="4"/>
        <v/>
      </c>
      <c r="C549" s="2" t="s">
        <v>2293</v>
      </c>
      <c r="D549" s="2" t="s">
        <v>2296</v>
      </c>
      <c r="E549" s="2" t="s">
        <v>376</v>
      </c>
    </row>
    <row r="550" spans="1:13" ht="15" customHeight="1" x14ac:dyDescent="0.25">
      <c r="A550" s="2" t="str">
        <f t="shared" si="4"/>
        <v/>
      </c>
      <c r="C550" s="2" t="s">
        <v>2294</v>
      </c>
      <c r="D550" s="2" t="s">
        <v>2297</v>
      </c>
      <c r="E550" s="2" t="s">
        <v>376</v>
      </c>
    </row>
    <row r="551" spans="1:13" ht="15" customHeight="1" x14ac:dyDescent="0.25">
      <c r="A551" s="2" t="str">
        <f t="shared" si="4"/>
        <v/>
      </c>
      <c r="C551" s="2" t="s">
        <v>2295</v>
      </c>
      <c r="D551" s="2" t="s">
        <v>2298</v>
      </c>
      <c r="E551" s="2" t="s">
        <v>376</v>
      </c>
    </row>
    <row r="552" spans="1:13" ht="15" customHeight="1" x14ac:dyDescent="0.25">
      <c r="A552" s="2" t="str">
        <f t="shared" si="4"/>
        <v/>
      </c>
    </row>
    <row r="553" spans="1:13" ht="15" customHeight="1" x14ac:dyDescent="0.25">
      <c r="A553" s="2" t="str">
        <f t="shared" si="4"/>
        <v>R553</v>
      </c>
      <c r="B553" s="2" t="s">
        <v>2602</v>
      </c>
      <c r="C553" s="2" t="s">
        <v>2328</v>
      </c>
      <c r="D553" s="2" t="s">
        <v>2302</v>
      </c>
      <c r="E553" s="2" t="s">
        <v>376</v>
      </c>
      <c r="F553" s="2" t="s">
        <v>746</v>
      </c>
      <c r="M553" s="2">
        <v>1</v>
      </c>
    </row>
    <row r="554" spans="1:13" ht="15" customHeight="1" x14ac:dyDescent="0.25">
      <c r="A554" s="2" t="str">
        <f t="shared" si="4"/>
        <v/>
      </c>
    </row>
    <row r="555" spans="1:13" ht="15" customHeight="1" x14ac:dyDescent="0.25">
      <c r="A555" s="2" t="str">
        <f t="shared" si="4"/>
        <v>R555</v>
      </c>
      <c r="B555" s="2" t="s">
        <v>2519</v>
      </c>
      <c r="C555" s="2" t="s">
        <v>2322</v>
      </c>
      <c r="D555" s="2" t="s">
        <v>2280</v>
      </c>
      <c r="E555" s="2" t="s">
        <v>376</v>
      </c>
      <c r="F555" s="2" t="s">
        <v>746</v>
      </c>
      <c r="K555" s="2" t="s">
        <v>2076</v>
      </c>
      <c r="M555" s="2">
        <v>1</v>
      </c>
    </row>
    <row r="556" spans="1:13" ht="15" customHeight="1" x14ac:dyDescent="0.25">
      <c r="A556" s="2" t="str">
        <f t="shared" si="4"/>
        <v/>
      </c>
    </row>
    <row r="557" spans="1:13" ht="15" customHeight="1" x14ac:dyDescent="0.25">
      <c r="A557" s="2" t="str">
        <f t="shared" si="4"/>
        <v>R557</v>
      </c>
      <c r="B557" s="2" t="s">
        <v>2325</v>
      </c>
      <c r="C557" s="2" t="s">
        <v>2331</v>
      </c>
      <c r="D557" s="2" t="s">
        <v>2157</v>
      </c>
      <c r="E557" s="2" t="s">
        <v>376</v>
      </c>
      <c r="F557" s="2" t="s">
        <v>746</v>
      </c>
      <c r="M557" s="2">
        <v>6</v>
      </c>
    </row>
    <row r="558" spans="1:13" ht="15" customHeight="1" x14ac:dyDescent="0.25">
      <c r="A558" s="2" t="str">
        <f t="shared" si="4"/>
        <v/>
      </c>
      <c r="C558" s="2" t="s">
        <v>2310</v>
      </c>
      <c r="D558" s="2" t="s">
        <v>2311</v>
      </c>
      <c r="E558" s="2" t="s">
        <v>376</v>
      </c>
    </row>
    <row r="559" spans="1:13" ht="15" customHeight="1" x14ac:dyDescent="0.25">
      <c r="A559" s="2" t="str">
        <f t="shared" si="4"/>
        <v/>
      </c>
      <c r="C559" s="2" t="s">
        <v>2316</v>
      </c>
      <c r="D559" s="2" t="s">
        <v>2313</v>
      </c>
      <c r="E559" s="2" t="s">
        <v>376</v>
      </c>
    </row>
    <row r="560" spans="1:13" ht="15" customHeight="1" x14ac:dyDescent="0.25">
      <c r="A560" s="2" t="str">
        <f t="shared" si="4"/>
        <v/>
      </c>
      <c r="C560" s="2" t="s">
        <v>2317</v>
      </c>
      <c r="D560" s="2" t="s">
        <v>2314</v>
      </c>
      <c r="E560" s="2" t="s">
        <v>376</v>
      </c>
    </row>
    <row r="561" spans="1:13" ht="15" customHeight="1" x14ac:dyDescent="0.25">
      <c r="A561" s="2" t="str">
        <f t="shared" si="4"/>
        <v/>
      </c>
      <c r="C561" s="2" t="s">
        <v>2318</v>
      </c>
      <c r="D561" s="2" t="s">
        <v>2315</v>
      </c>
      <c r="E561" s="2" t="s">
        <v>376</v>
      </c>
    </row>
    <row r="562" spans="1:13" ht="15" customHeight="1" x14ac:dyDescent="0.25">
      <c r="A562" s="2" t="str">
        <f t="shared" si="4"/>
        <v/>
      </c>
      <c r="C562" s="2" t="s">
        <v>2320</v>
      </c>
      <c r="D562" s="2" t="s">
        <v>2319</v>
      </c>
      <c r="E562" s="2" t="s">
        <v>376</v>
      </c>
    </row>
    <row r="563" spans="1:13" ht="15" customHeight="1" x14ac:dyDescent="0.25">
      <c r="A563" s="2" t="str">
        <f t="shared" si="4"/>
        <v/>
      </c>
      <c r="C563" s="2" t="s">
        <v>2321</v>
      </c>
      <c r="D563" s="2" t="s">
        <v>1884</v>
      </c>
      <c r="E563" s="2" t="s">
        <v>376</v>
      </c>
    </row>
    <row r="564" spans="1:13" ht="15" customHeight="1" x14ac:dyDescent="0.25">
      <c r="A564" s="2" t="str">
        <f t="shared" si="4"/>
        <v/>
      </c>
    </row>
    <row r="565" spans="1:13" ht="15" customHeight="1" x14ac:dyDescent="0.25">
      <c r="A565" s="2" t="str">
        <f t="shared" si="4"/>
        <v>R565</v>
      </c>
      <c r="B565" s="2" t="s">
        <v>2520</v>
      </c>
      <c r="C565" s="2" t="s">
        <v>2338</v>
      </c>
      <c r="D565" s="2" t="s">
        <v>2157</v>
      </c>
      <c r="E565" s="2" t="s">
        <v>376</v>
      </c>
      <c r="F565" s="2" t="s">
        <v>746</v>
      </c>
      <c r="K565" s="2" t="s">
        <v>2076</v>
      </c>
      <c r="M565" s="2">
        <v>2</v>
      </c>
    </row>
    <row r="566" spans="1:13" ht="15" customHeight="1" x14ac:dyDescent="0.25">
      <c r="A566" s="2" t="str">
        <f t="shared" si="4"/>
        <v/>
      </c>
      <c r="C566" s="2" t="s">
        <v>2308</v>
      </c>
      <c r="D566" s="2" t="s">
        <v>2280</v>
      </c>
      <c r="E566" s="2" t="s">
        <v>376</v>
      </c>
    </row>
    <row r="567" spans="1:13" ht="15" customHeight="1" x14ac:dyDescent="0.25">
      <c r="A567" s="2" t="str">
        <f t="shared" si="4"/>
        <v/>
      </c>
      <c r="C567" s="2" t="s">
        <v>2309</v>
      </c>
      <c r="D567" s="2" t="s">
        <v>2312</v>
      </c>
      <c r="E567" s="2" t="s">
        <v>376</v>
      </c>
    </row>
    <row r="568" spans="1:13" ht="15" customHeight="1" x14ac:dyDescent="0.25">
      <c r="A568" s="2" t="str">
        <f t="shared" si="4"/>
        <v/>
      </c>
    </row>
    <row r="569" spans="1:13" ht="15" customHeight="1" x14ac:dyDescent="0.25">
      <c r="A569" s="2" t="str">
        <f>IF(EXACT(F569,"N"),CONCATENATE("R",ROW()),IF(EXACT(F569,"Y"),CONCATENATE("R",ROW()),""))</f>
        <v>R569</v>
      </c>
      <c r="B569" s="2" t="s">
        <v>1994</v>
      </c>
      <c r="C569" s="2" t="s">
        <v>1998</v>
      </c>
      <c r="F569" s="2" t="s">
        <v>746</v>
      </c>
      <c r="K569" s="2" t="s">
        <v>2076</v>
      </c>
      <c r="M569" s="2">
        <v>0</v>
      </c>
    </row>
    <row r="571" spans="1:13" ht="15" customHeight="1" x14ac:dyDescent="0.25">
      <c r="A571" s="2" t="str">
        <f>IF(EXACT(F571,"N"),CONCATENATE("R",ROW()),IF(EXACT(F571,"Y"),CONCATENATE("R",ROW()),""))</f>
        <v>R571</v>
      </c>
      <c r="B571" s="2" t="s">
        <v>1995</v>
      </c>
      <c r="C571" s="2" t="s">
        <v>1999</v>
      </c>
      <c r="F571" s="2" t="s">
        <v>746</v>
      </c>
      <c r="K571" s="2" t="s">
        <v>2076</v>
      </c>
      <c r="M571" s="2">
        <v>0</v>
      </c>
    </row>
    <row r="573" spans="1:13" ht="15" customHeight="1" x14ac:dyDescent="0.25">
      <c r="A573" s="2" t="str">
        <f>IF(EXACT(F573,"N"),CONCATENATE("R",ROW()),IF(EXACT(F573,"Y"),CONCATENATE("R",ROW()),""))</f>
        <v>R573</v>
      </c>
      <c r="B573" s="2" t="s">
        <v>1996</v>
      </c>
      <c r="C573" s="2" t="s">
        <v>2000</v>
      </c>
      <c r="F573" s="2" t="s">
        <v>746</v>
      </c>
      <c r="K573" s="2" t="s">
        <v>2076</v>
      </c>
      <c r="M573" s="2">
        <v>0</v>
      </c>
    </row>
    <row r="575" spans="1:13" ht="15" customHeight="1" x14ac:dyDescent="0.25">
      <c r="A575" s="2" t="str">
        <f>IF(EXACT(F575,"N"),CONCATENATE("R",ROW()),IF(EXACT(F575,"Y"),CONCATENATE("R",ROW()),""))</f>
        <v>R575</v>
      </c>
      <c r="B575" s="2" t="s">
        <v>1997</v>
      </c>
      <c r="C575" s="2" t="s">
        <v>2001</v>
      </c>
      <c r="F575" s="2" t="s">
        <v>746</v>
      </c>
      <c r="K575" s="2" t="s">
        <v>2076</v>
      </c>
      <c r="M575" s="2">
        <v>0</v>
      </c>
    </row>
    <row r="577" spans="1:13" ht="15" customHeight="1" x14ac:dyDescent="0.25">
      <c r="A577" s="2" t="str">
        <f>IF(EXACT(F577,"N"),CONCATENATE("R",ROW()),IF(EXACT(F577,"Y"),CONCATENATE("R",ROW()),""))</f>
        <v>R577</v>
      </c>
      <c r="B577" s="2" t="s">
        <v>2603</v>
      </c>
      <c r="C577" s="2" t="s">
        <v>175</v>
      </c>
      <c r="D577" s="2" t="s">
        <v>2326</v>
      </c>
      <c r="E577" s="2" t="s">
        <v>2611</v>
      </c>
      <c r="F577" s="2" t="s">
        <v>776</v>
      </c>
      <c r="G577" s="2">
        <v>2504813320</v>
      </c>
      <c r="H577" t="s">
        <v>2608</v>
      </c>
      <c r="I577" s="25" t="s">
        <v>2610</v>
      </c>
      <c r="J577" s="25" t="s">
        <v>2609</v>
      </c>
      <c r="K577" s="2" t="s">
        <v>2076</v>
      </c>
      <c r="M577" s="2">
        <v>1</v>
      </c>
    </row>
    <row r="579" spans="1:13" s="27" customFormat="1" ht="15" customHeight="1" x14ac:dyDescent="0.25">
      <c r="C579" s="27" t="s">
        <v>2079</v>
      </c>
    </row>
    <row r="580" spans="1:13" ht="15" customHeight="1" x14ac:dyDescent="0.25">
      <c r="A580" s="2" t="str">
        <f t="shared" ref="A580:A589" si="5">IF(EXACT(F580,"N"),CONCATENATE("R",ROW()),IF(EXACT(F580,"Y"),CONCATENATE("R",ROW()),""))</f>
        <v>R580</v>
      </c>
      <c r="B580" s="2" t="s">
        <v>2521</v>
      </c>
      <c r="C580" s="2" t="s">
        <v>2067</v>
      </c>
      <c r="D580" s="2" t="s">
        <v>1775</v>
      </c>
      <c r="E580" s="3" t="s">
        <v>1776</v>
      </c>
      <c r="F580" s="2" t="s">
        <v>746</v>
      </c>
      <c r="G580" s="3">
        <v>2504813072</v>
      </c>
      <c r="H580" s="3" t="s">
        <v>1777</v>
      </c>
      <c r="I580" s="25" t="s">
        <v>1778</v>
      </c>
      <c r="J580" s="25" t="s">
        <v>1779</v>
      </c>
      <c r="K580" s="2" t="s">
        <v>2076</v>
      </c>
      <c r="M580" s="2">
        <v>1</v>
      </c>
    </row>
    <row r="581" spans="1:13" ht="15" customHeight="1" x14ac:dyDescent="0.25">
      <c r="A581" s="2" t="str">
        <f t="shared" si="5"/>
        <v/>
      </c>
      <c r="E581" s="3" t="s">
        <v>1780</v>
      </c>
      <c r="G581" s="3">
        <v>2504813071</v>
      </c>
      <c r="H581" s="3" t="s">
        <v>1781</v>
      </c>
      <c r="I581" s="25" t="s">
        <v>1782</v>
      </c>
      <c r="J581" s="25" t="s">
        <v>1783</v>
      </c>
      <c r="K581" s="2" t="s">
        <v>2076</v>
      </c>
    </row>
    <row r="582" spans="1:13" ht="15" customHeight="1" x14ac:dyDescent="0.25">
      <c r="A582" s="2" t="str">
        <f t="shared" si="5"/>
        <v/>
      </c>
      <c r="E582" s="3" t="s">
        <v>1784</v>
      </c>
      <c r="G582" s="3">
        <v>2504813070</v>
      </c>
      <c r="H582" s="3" t="s">
        <v>1785</v>
      </c>
      <c r="I582" s="25" t="s">
        <v>1786</v>
      </c>
      <c r="J582" s="25" t="s">
        <v>1787</v>
      </c>
      <c r="K582" s="2" t="s">
        <v>2076</v>
      </c>
    </row>
    <row r="583" spans="1:13" ht="15" customHeight="1" x14ac:dyDescent="0.25">
      <c r="A583" s="2" t="str">
        <f t="shared" si="5"/>
        <v/>
      </c>
      <c r="E583" s="3" t="s">
        <v>1788</v>
      </c>
      <c r="G583" s="3">
        <v>2504813069</v>
      </c>
      <c r="H583" s="3" t="s">
        <v>1789</v>
      </c>
      <c r="I583" s="25" t="s">
        <v>1790</v>
      </c>
      <c r="J583" s="25" t="s">
        <v>1791</v>
      </c>
      <c r="K583" s="2" t="s">
        <v>2076</v>
      </c>
    </row>
    <row r="584" spans="1:13" ht="15" customHeight="1" x14ac:dyDescent="0.25">
      <c r="A584" s="2" t="str">
        <f t="shared" si="5"/>
        <v/>
      </c>
      <c r="E584" s="3" t="s">
        <v>1792</v>
      </c>
      <c r="G584" s="3">
        <v>2504813068</v>
      </c>
      <c r="H584" s="3" t="s">
        <v>1793</v>
      </c>
      <c r="I584" s="25" t="s">
        <v>1794</v>
      </c>
      <c r="J584" s="25" t="s">
        <v>1795</v>
      </c>
      <c r="K584" s="2" t="s">
        <v>2076</v>
      </c>
    </row>
    <row r="585" spans="1:13" ht="15" customHeight="1" x14ac:dyDescent="0.25">
      <c r="A585" s="2" t="str">
        <f t="shared" si="5"/>
        <v/>
      </c>
      <c r="E585" s="3" t="s">
        <v>1796</v>
      </c>
      <c r="G585" s="3">
        <v>2504813067</v>
      </c>
      <c r="H585" s="3" t="s">
        <v>1797</v>
      </c>
      <c r="I585" s="25" t="s">
        <v>1798</v>
      </c>
      <c r="J585" s="25" t="s">
        <v>1799</v>
      </c>
      <c r="K585" s="2" t="s">
        <v>2076</v>
      </c>
    </row>
    <row r="586" spans="1:13" ht="15" customHeight="1" x14ac:dyDescent="0.25">
      <c r="A586" s="2" t="str">
        <f t="shared" si="5"/>
        <v/>
      </c>
      <c r="E586" s="3" t="s">
        <v>1800</v>
      </c>
      <c r="G586" s="3">
        <v>2504813065</v>
      </c>
      <c r="H586" s="3" t="s">
        <v>1801</v>
      </c>
      <c r="I586" s="25" t="s">
        <v>1802</v>
      </c>
      <c r="J586" s="25" t="s">
        <v>1803</v>
      </c>
      <c r="K586" s="2" t="s">
        <v>2076</v>
      </c>
    </row>
    <row r="587" spans="1:13" ht="15" customHeight="1" x14ac:dyDescent="0.25">
      <c r="A587" s="2" t="str">
        <f t="shared" si="5"/>
        <v/>
      </c>
      <c r="E587" s="3" t="s">
        <v>1804</v>
      </c>
      <c r="G587" s="3">
        <v>2504813874</v>
      </c>
      <c r="H587" s="3" t="s">
        <v>1805</v>
      </c>
      <c r="I587" s="25" t="s">
        <v>1806</v>
      </c>
      <c r="J587" s="25" t="s">
        <v>1807</v>
      </c>
      <c r="K587" s="2" t="s">
        <v>2076</v>
      </c>
    </row>
    <row r="588" spans="1:13" ht="15" customHeight="1" x14ac:dyDescent="0.25">
      <c r="A588" s="2" t="str">
        <f t="shared" si="5"/>
        <v/>
      </c>
      <c r="E588" s="3" t="s">
        <v>1808</v>
      </c>
      <c r="G588" s="3">
        <v>2504813873</v>
      </c>
      <c r="H588" s="3" t="s">
        <v>1809</v>
      </c>
      <c r="I588" s="25" t="s">
        <v>1810</v>
      </c>
      <c r="J588" s="25" t="s">
        <v>1811</v>
      </c>
      <c r="K588" s="2" t="s">
        <v>2076</v>
      </c>
    </row>
    <row r="589" spans="1:13" ht="15" customHeight="1" x14ac:dyDescent="0.25">
      <c r="A589" s="2" t="str">
        <f t="shared" si="5"/>
        <v/>
      </c>
      <c r="E589" s="3" t="s">
        <v>1812</v>
      </c>
      <c r="G589" s="3">
        <v>2504813064</v>
      </c>
      <c r="H589" s="3" t="s">
        <v>1813</v>
      </c>
      <c r="I589" s="25" t="s">
        <v>1814</v>
      </c>
      <c r="J589" s="25" t="s">
        <v>1815</v>
      </c>
      <c r="K589" s="2" t="s">
        <v>2076</v>
      </c>
    </row>
    <row r="590" spans="1:13" ht="15" customHeight="1" x14ac:dyDescent="0.25">
      <c r="E590" s="3"/>
      <c r="G590" s="3"/>
      <c r="H590" s="3"/>
      <c r="I590" s="25"/>
      <c r="J590" s="25"/>
    </row>
    <row r="591" spans="1:13" ht="15" customHeight="1" x14ac:dyDescent="0.25">
      <c r="A591" s="2" t="str">
        <f>IF(EXACT(F591,"N"),CONCATENATE("R",ROW()),IF(EXACT(F591,"Y"),CONCATENATE("R",ROW()),""))</f>
        <v>R591</v>
      </c>
      <c r="B591" s="2" t="s">
        <v>2343</v>
      </c>
      <c r="C591" s="2" t="s">
        <v>2068</v>
      </c>
      <c r="D591" s="2" t="s">
        <v>1816</v>
      </c>
      <c r="E591" s="2" t="s">
        <v>376</v>
      </c>
      <c r="F591" s="2" t="s">
        <v>776</v>
      </c>
      <c r="K591" s="2" t="s">
        <v>2076</v>
      </c>
      <c r="M591" s="2">
        <v>1</v>
      </c>
    </row>
    <row r="593" spans="1:13" ht="15" customHeight="1" x14ac:dyDescent="0.25">
      <c r="A593" s="2" t="str">
        <f>IF(EXACT(F593,"N"),CONCATENATE("R",ROW()),IF(EXACT(F593,"Y"),CONCATENATE("R",ROW()),""))</f>
        <v>R593</v>
      </c>
      <c r="B593" s="2" t="s">
        <v>2591</v>
      </c>
      <c r="C593" s="2" t="s">
        <v>2069</v>
      </c>
      <c r="D593" s="2" t="s">
        <v>1818</v>
      </c>
      <c r="E593" s="3" t="s">
        <v>1817</v>
      </c>
      <c r="F593" s="2" t="s">
        <v>746</v>
      </c>
      <c r="G593" s="3">
        <v>2504814121</v>
      </c>
      <c r="H593" s="3" t="s">
        <v>1819</v>
      </c>
      <c r="I593" s="25" t="s">
        <v>1820</v>
      </c>
      <c r="J593" s="25" t="s">
        <v>1821</v>
      </c>
      <c r="K593" s="2" t="s">
        <v>2076</v>
      </c>
      <c r="M593" s="2">
        <v>1</v>
      </c>
    </row>
    <row r="594" spans="1:13" ht="15" customHeight="1" x14ac:dyDescent="0.25">
      <c r="E594" s="3"/>
      <c r="G594" s="3"/>
      <c r="H594" s="3"/>
      <c r="I594" s="25"/>
      <c r="J594" s="25"/>
    </row>
    <row r="595" spans="1:13" ht="15" customHeight="1" x14ac:dyDescent="0.25">
      <c r="A595" s="2" t="str">
        <f>IF(EXACT(F595,"N"),CONCATENATE("R",ROW()),IF(EXACT(F595,"Y"),CONCATENATE("R",ROW()),""))</f>
        <v>R595</v>
      </c>
      <c r="B595" s="2" t="s">
        <v>2522</v>
      </c>
      <c r="C595" s="2" t="s">
        <v>41</v>
      </c>
      <c r="D595" s="2" t="s">
        <v>1830</v>
      </c>
      <c r="E595" s="3" t="s">
        <v>1822</v>
      </c>
      <c r="F595" s="2" t="s">
        <v>746</v>
      </c>
      <c r="G595" s="3">
        <v>2504814344</v>
      </c>
      <c r="H595" s="3" t="s">
        <v>1823</v>
      </c>
      <c r="I595" s="25" t="s">
        <v>1824</v>
      </c>
      <c r="J595" s="25" t="s">
        <v>1825</v>
      </c>
      <c r="K595" s="2" t="s">
        <v>2076</v>
      </c>
      <c r="M595" s="2">
        <v>1</v>
      </c>
    </row>
    <row r="596" spans="1:13" ht="15" customHeight="1" x14ac:dyDescent="0.25">
      <c r="A596" s="2" t="str">
        <f>IF(EXACT(F596,"N"),CONCATENATE("R",ROW()),IF(EXACT(F596,"Y"),CONCATENATE("R",ROW()),""))</f>
        <v/>
      </c>
      <c r="E596" s="3" t="s">
        <v>1826</v>
      </c>
      <c r="G596" s="3">
        <v>2504814343</v>
      </c>
      <c r="H596" s="3" t="s">
        <v>1827</v>
      </c>
      <c r="I596" s="25" t="s">
        <v>1828</v>
      </c>
      <c r="J596" s="25" t="s">
        <v>1829</v>
      </c>
      <c r="K596" s="2" t="s">
        <v>2076</v>
      </c>
    </row>
    <row r="597" spans="1:13" ht="15" customHeight="1" x14ac:dyDescent="0.25">
      <c r="E597" s="3"/>
      <c r="G597" s="3"/>
      <c r="H597" s="3"/>
      <c r="I597" s="25"/>
      <c r="J597" s="25"/>
    </row>
    <row r="598" spans="1:13" ht="15" customHeight="1" x14ac:dyDescent="0.25">
      <c r="A598" s="2" t="str">
        <f t="shared" ref="A598:A605" si="6">IF(EXACT(F598,"N"),CONCATENATE("R",ROW()),IF(EXACT(F598,"Y"),CONCATENATE("R",ROW()),""))</f>
        <v>R598</v>
      </c>
      <c r="B598" s="2" t="s">
        <v>2523</v>
      </c>
      <c r="C598" s="2" t="s">
        <v>42</v>
      </c>
      <c r="D598" s="2" t="s">
        <v>1831</v>
      </c>
      <c r="E598" s="3" t="s">
        <v>1832</v>
      </c>
      <c r="F598" s="2" t="s">
        <v>776</v>
      </c>
      <c r="G598" s="3">
        <v>2504813815</v>
      </c>
      <c r="H598" s="3" t="s">
        <v>1833</v>
      </c>
      <c r="I598" s="25" t="s">
        <v>1834</v>
      </c>
      <c r="J598" s="25" t="s">
        <v>1835</v>
      </c>
      <c r="K598" s="2" t="s">
        <v>2076</v>
      </c>
      <c r="M598" s="2">
        <v>1</v>
      </c>
    </row>
    <row r="599" spans="1:13" ht="15" customHeight="1" x14ac:dyDescent="0.25">
      <c r="A599" s="2" t="str">
        <f t="shared" si="6"/>
        <v/>
      </c>
      <c r="E599" s="3" t="s">
        <v>1836</v>
      </c>
      <c r="G599" s="3">
        <v>2504813816</v>
      </c>
      <c r="H599" s="3" t="s">
        <v>1837</v>
      </c>
      <c r="I599" s="25" t="s">
        <v>1838</v>
      </c>
      <c r="J599" s="25" t="s">
        <v>1839</v>
      </c>
      <c r="K599" s="2" t="s">
        <v>2076</v>
      </c>
    </row>
    <row r="600" spans="1:13" ht="15" customHeight="1" x14ac:dyDescent="0.25">
      <c r="A600" s="2" t="str">
        <f t="shared" si="6"/>
        <v/>
      </c>
      <c r="E600" s="3" t="s">
        <v>1840</v>
      </c>
      <c r="G600" s="3">
        <v>2504813813</v>
      </c>
      <c r="H600" s="3" t="s">
        <v>1841</v>
      </c>
      <c r="I600" s="25" t="s">
        <v>1842</v>
      </c>
      <c r="J600" s="25" t="s">
        <v>1843</v>
      </c>
      <c r="K600" s="2" t="s">
        <v>2076</v>
      </c>
    </row>
    <row r="601" spans="1:13" ht="15" customHeight="1" x14ac:dyDescent="0.25">
      <c r="A601" s="2" t="str">
        <f t="shared" si="6"/>
        <v/>
      </c>
      <c r="E601" s="3" t="s">
        <v>1844</v>
      </c>
      <c r="G601" s="3">
        <v>2504813811</v>
      </c>
      <c r="H601" s="3" t="s">
        <v>1845</v>
      </c>
      <c r="I601" s="25" t="s">
        <v>1846</v>
      </c>
      <c r="J601" s="25" t="s">
        <v>1847</v>
      </c>
      <c r="K601" s="2" t="s">
        <v>2076</v>
      </c>
    </row>
    <row r="602" spans="1:13" ht="15" customHeight="1" x14ac:dyDescent="0.25">
      <c r="A602" s="2" t="str">
        <f t="shared" si="6"/>
        <v/>
      </c>
      <c r="E602" s="3" t="s">
        <v>1848</v>
      </c>
      <c r="G602" s="3">
        <v>2504813817</v>
      </c>
      <c r="H602" s="3" t="s">
        <v>1849</v>
      </c>
      <c r="I602" s="25" t="s">
        <v>1850</v>
      </c>
      <c r="J602" s="25" t="s">
        <v>1851</v>
      </c>
      <c r="K602" s="2" t="s">
        <v>2076</v>
      </c>
    </row>
    <row r="603" spans="1:13" ht="15" customHeight="1" x14ac:dyDescent="0.25">
      <c r="A603" s="2" t="str">
        <f t="shared" si="6"/>
        <v/>
      </c>
      <c r="E603" s="3" t="s">
        <v>1852</v>
      </c>
      <c r="G603" s="3">
        <v>2504813814</v>
      </c>
      <c r="H603" s="3" t="s">
        <v>1853</v>
      </c>
      <c r="I603" s="25" t="s">
        <v>1854</v>
      </c>
      <c r="J603" s="25" t="s">
        <v>1855</v>
      </c>
      <c r="K603" s="2" t="s">
        <v>2076</v>
      </c>
    </row>
    <row r="604" spans="1:13" ht="15" customHeight="1" x14ac:dyDescent="0.25">
      <c r="A604" s="2" t="str">
        <f t="shared" si="6"/>
        <v/>
      </c>
      <c r="E604" s="3" t="s">
        <v>1856</v>
      </c>
      <c r="G604" s="3">
        <v>2504813820</v>
      </c>
      <c r="H604" s="3" t="s">
        <v>1857</v>
      </c>
      <c r="I604" s="25" t="s">
        <v>1858</v>
      </c>
      <c r="J604" s="25" t="s">
        <v>1859</v>
      </c>
      <c r="K604" s="2" t="s">
        <v>2076</v>
      </c>
    </row>
    <row r="605" spans="1:13" ht="15" customHeight="1" x14ac:dyDescent="0.25">
      <c r="A605" s="2" t="str">
        <f t="shared" si="6"/>
        <v/>
      </c>
      <c r="E605" s="3" t="s">
        <v>696</v>
      </c>
      <c r="G605" s="3">
        <v>2504813819</v>
      </c>
      <c r="H605" s="3" t="s">
        <v>1860</v>
      </c>
      <c r="I605" s="25" t="s">
        <v>1861</v>
      </c>
      <c r="J605" s="25" t="s">
        <v>1862</v>
      </c>
      <c r="K605" s="2" t="s">
        <v>2076</v>
      </c>
    </row>
    <row r="606" spans="1:13" ht="15" customHeight="1" x14ac:dyDescent="0.25">
      <c r="E606" s="3"/>
      <c r="G606" s="3"/>
      <c r="H606" s="3"/>
      <c r="I606" s="25"/>
      <c r="J606" s="25"/>
    </row>
    <row r="607" spans="1:13" s="27" customFormat="1" ht="15" customHeight="1" x14ac:dyDescent="0.25">
      <c r="C607" s="27" t="s">
        <v>2080</v>
      </c>
      <c r="E607" s="28"/>
      <c r="G607" s="28"/>
      <c r="H607" s="28"/>
      <c r="I607" s="32"/>
      <c r="J607" s="32"/>
    </row>
    <row r="608" spans="1:13" ht="15" customHeight="1" x14ac:dyDescent="0.25">
      <c r="A608" s="2" t="str">
        <f>IF(EXACT(F608,"N"),CONCATENATE("R",ROW()),IF(EXACT(F608,"Y"),CONCATENATE("R",ROW()),""))</f>
        <v>R608</v>
      </c>
      <c r="B608" s="2" t="s">
        <v>2524</v>
      </c>
      <c r="C608" s="2" t="str">
        <f>BIOMASS_Geo!A45</f>
        <v>100 ATP + 5.7 L-Alanine + 0.8 L-Cysteine + 4.4 L-Aspartate + 7.4 L-Glutamate + 5 L-Phenylalanine + 5.9 Glycine + 1.4 L-Histidine + 10.6 L-Isoleucine + 8.8 L-Lysine + 10.2 L-Leucine + 1.9 L-Methionine + 5.4 L-Asparagine + 3.6 L-Proline + 2 L-Glutamine + 4.1 L-Arginine + 6.5 L-Serine + 4.2 L-Threonine + 6.3 L-Valine + 0.9 L-Tryptophan + 4.6 L-Tyrosine + 198 GTP + 199 H2O = 100 AMP + 198 GDP + 1 peptide_biomass + 198 Phosphate + 100 PPi + 299 Proton</v>
      </c>
      <c r="F608" s="2" t="s">
        <v>746</v>
      </c>
      <c r="K608" s="2" t="s">
        <v>2076</v>
      </c>
      <c r="M608" s="2">
        <v>1</v>
      </c>
    </row>
    <row r="610" spans="1:13" ht="15" customHeight="1" x14ac:dyDescent="0.25">
      <c r="A610" s="2" t="str">
        <f>IF(EXACT(F610,"N"),CONCATENATE("R",ROW()),IF(EXACT(F610,"Y"),CONCATENATE("R",ROW()),""))</f>
        <v>R610</v>
      </c>
      <c r="B610" s="2" t="s">
        <v>2525</v>
      </c>
      <c r="C610" s="2" t="str">
        <f>BIOMASS_Geo!U14</f>
        <v>0.18 ATP + 0.25 UTP + 0.32 CTP + 0.25 GTP = 1 rRNA + 1 PPi</v>
      </c>
      <c r="F610" s="2" t="s">
        <v>746</v>
      </c>
      <c r="K610" s="2" t="s">
        <v>2076</v>
      </c>
      <c r="M610" s="2">
        <v>1</v>
      </c>
    </row>
    <row r="612" spans="1:13" ht="15" customHeight="1" x14ac:dyDescent="0.25">
      <c r="A612" s="2" t="str">
        <f>IF(EXACT(F612,"N"),CONCATENATE("R",ROW()),IF(EXACT(F612,"Y"),CONCATENATE("R",ROW()),""))</f>
        <v>R612</v>
      </c>
      <c r="B612" s="2" t="s">
        <v>2526</v>
      </c>
      <c r="C612" s="2" t="str">
        <f>BIOMASS_Geo!U7</f>
        <v>0.34 dATP + 0.34 dTTP + 0.16 dCTP + 0.16 dGTP = 1 DNA + 1 PPi</v>
      </c>
      <c r="F612" s="2" t="s">
        <v>746</v>
      </c>
      <c r="K612" s="2" t="s">
        <v>2076</v>
      </c>
      <c r="M612" s="2">
        <v>1</v>
      </c>
    </row>
    <row r="614" spans="1:13" ht="15" customHeight="1" x14ac:dyDescent="0.25">
      <c r="A614" s="2" t="str">
        <f>IF(EXACT(F614,"N"),CONCATENATE("R",ROW()),IF(EXACT(F614,"Y"),CONCATENATE("R",ROW()),""))</f>
        <v>R614</v>
      </c>
      <c r="B614" s="2" t="s">
        <v>2527</v>
      </c>
      <c r="C614" s="2" t="str">
        <f>BIOMASS_Geo!Q56</f>
        <v>0.065 DNA + 0.502 rRNA + 0.129 C25-C25 + 0.678 glucose-6-phosphate + 0.053 peptide_biomass + 150 Maintenance_energy = 1 kg_biomass + 0.678 Phosphate</v>
      </c>
      <c r="F614" s="2" t="s">
        <v>746</v>
      </c>
      <c r="K614" s="2" t="s">
        <v>2076</v>
      </c>
      <c r="M614" s="2">
        <v>1</v>
      </c>
    </row>
    <row r="615" spans="1:13" ht="15" customHeight="1" x14ac:dyDescent="0.25">
      <c r="D615" s="31"/>
    </row>
    <row r="616" spans="1:13" ht="15" customHeight="1" x14ac:dyDescent="0.25">
      <c r="A616" s="2" t="str">
        <f>IF(EXACT(F616,"N"),CONCATENATE("R",ROW()),IF(EXACT(F616,"Y"),CONCATENATE("R",ROW()),""))</f>
        <v>R616</v>
      </c>
      <c r="B616" s="2" t="s">
        <v>1985</v>
      </c>
      <c r="C616" s="2" t="s">
        <v>1982</v>
      </c>
      <c r="D616" s="31"/>
      <c r="F616" s="2" t="s">
        <v>746</v>
      </c>
      <c r="K616" s="2" t="s">
        <v>2076</v>
      </c>
      <c r="M616" s="2">
        <v>1</v>
      </c>
    </row>
    <row r="618" spans="1:13" ht="15" customHeight="1" x14ac:dyDescent="0.25">
      <c r="A618" s="2" t="str">
        <f>IF(EXACT(F618,"N"),CONCATENATE("R",ROW()),IF(EXACT(F618,"Y"),CONCATENATE("R",ROW()),""))</f>
        <v>R618</v>
      </c>
      <c r="B618" s="2" t="s">
        <v>2528</v>
      </c>
      <c r="C618" s="2" t="s">
        <v>43</v>
      </c>
      <c r="E618" s="2" t="s">
        <v>376</v>
      </c>
      <c r="F618" s="2" t="s">
        <v>776</v>
      </c>
      <c r="K618" s="2" t="s">
        <v>2076</v>
      </c>
      <c r="M618" s="2">
        <v>1</v>
      </c>
    </row>
    <row r="620" spans="1:13" ht="15" customHeight="1" x14ac:dyDescent="0.25">
      <c r="A620" s="2" t="str">
        <f>IF(EXACT(F620,"N"),CONCATENATE("R",ROW()),IF(EXACT(F620,"Y"),CONCATENATE("R",ROW()),""))</f>
        <v>R620</v>
      </c>
      <c r="B620" s="2" t="s">
        <v>2342</v>
      </c>
      <c r="C620" s="2" t="s">
        <v>97</v>
      </c>
      <c r="E620" s="2" t="s">
        <v>376</v>
      </c>
      <c r="F620" s="2" t="s">
        <v>776</v>
      </c>
      <c r="K620" s="2" t="s">
        <v>2076</v>
      </c>
      <c r="M620" s="2">
        <v>1</v>
      </c>
    </row>
    <row r="622" spans="1:13" ht="15" customHeight="1" x14ac:dyDescent="0.25">
      <c r="A622" s="2" t="str">
        <f>IF(EXACT(F622,"N"),CONCATENATE("R",ROW()),IF(EXACT(F622,"Y"),CONCATENATE("R",ROW()),""))</f>
        <v>R622</v>
      </c>
      <c r="B622" s="2" t="s">
        <v>2529</v>
      </c>
      <c r="C622" s="2" t="s">
        <v>180</v>
      </c>
      <c r="E622" s="2" t="s">
        <v>1863</v>
      </c>
      <c r="F622" s="2" t="s">
        <v>776</v>
      </c>
      <c r="K622" s="2" t="s">
        <v>2076</v>
      </c>
      <c r="M622" s="2">
        <v>0</v>
      </c>
    </row>
    <row r="624" spans="1:13" ht="15" customHeight="1" x14ac:dyDescent="0.25">
      <c r="A624" s="2" t="str">
        <f>IF(EXACT(F624,"N"),CONCATENATE("R",ROW()),IF(EXACT(F624,"Y"),CONCATENATE("R",ROW()),""))</f>
        <v>R624</v>
      </c>
      <c r="B624" s="2" t="s">
        <v>2530</v>
      </c>
      <c r="C624" s="2" t="s">
        <v>181</v>
      </c>
      <c r="E624" s="3" t="s">
        <v>1880</v>
      </c>
      <c r="F624" s="2" t="s">
        <v>746</v>
      </c>
      <c r="G624" s="3">
        <v>2504814211</v>
      </c>
      <c r="H624" s="3" t="s">
        <v>1881</v>
      </c>
      <c r="I624" s="25" t="s">
        <v>1882</v>
      </c>
      <c r="J624" s="25" t="s">
        <v>1883</v>
      </c>
      <c r="K624" s="2" t="s">
        <v>2076</v>
      </c>
      <c r="M624" s="2">
        <v>1</v>
      </c>
    </row>
    <row r="625" spans="1:13" ht="15" customHeight="1" x14ac:dyDescent="0.25">
      <c r="E625" s="3"/>
      <c r="G625" s="3"/>
      <c r="H625" s="3"/>
      <c r="I625" s="25"/>
      <c r="J625" s="25"/>
    </row>
    <row r="626" spans="1:13" ht="15" customHeight="1" x14ac:dyDescent="0.25">
      <c r="A626" s="2" t="str">
        <f>IF(EXACT(F626,"N"),CONCATENATE("R",ROW()),IF(EXACT(F626,"Y"),CONCATENATE("R",ROW()),""))</f>
        <v>R626</v>
      </c>
      <c r="B626" s="2" t="s">
        <v>2531</v>
      </c>
      <c r="C626" s="2" t="s">
        <v>182</v>
      </c>
      <c r="E626" s="2" t="s">
        <v>376</v>
      </c>
      <c r="F626" s="2" t="s">
        <v>776</v>
      </c>
      <c r="K626" s="2" t="s">
        <v>2076</v>
      </c>
      <c r="M626" s="2">
        <v>1</v>
      </c>
    </row>
    <row r="627" spans="1:13" ht="15" customHeight="1" x14ac:dyDescent="0.25">
      <c r="D627" s="31"/>
    </row>
    <row r="628" spans="1:13" ht="15" customHeight="1" x14ac:dyDescent="0.25">
      <c r="A628" s="2" t="str">
        <f>IF(EXACT(F628,"N"),CONCATENATE("R",ROW()),IF(EXACT(F628,"Y"),CONCATENATE("R",ROW()),""))</f>
        <v>R628</v>
      </c>
      <c r="B628" s="2" t="s">
        <v>2046</v>
      </c>
      <c r="C628" s="2" t="s">
        <v>2047</v>
      </c>
      <c r="D628" s="31"/>
      <c r="E628" s="2" t="s">
        <v>2604</v>
      </c>
      <c r="F628" s="2" t="s">
        <v>776</v>
      </c>
      <c r="K628" s="2" t="s">
        <v>2076</v>
      </c>
      <c r="M628" s="2">
        <v>1</v>
      </c>
    </row>
    <row r="630" spans="1:13" ht="15" customHeight="1" x14ac:dyDescent="0.25">
      <c r="A630" s="2" t="str">
        <f>IF(EXACT(F630,"N"),CONCATENATE("R",ROW()),IF(EXACT(F630,"Y"),CONCATENATE("R",ROW()),""))</f>
        <v>R630</v>
      </c>
      <c r="B630" s="2" t="s">
        <v>2532</v>
      </c>
      <c r="C630" s="2" t="s">
        <v>184</v>
      </c>
      <c r="E630" s="2" t="s">
        <v>1863</v>
      </c>
      <c r="F630" s="2" t="s">
        <v>746</v>
      </c>
      <c r="K630" s="2" t="s">
        <v>2076</v>
      </c>
      <c r="M630" s="2">
        <v>1</v>
      </c>
    </row>
    <row r="632" spans="1:13" ht="15" customHeight="1" x14ac:dyDescent="0.25">
      <c r="A632" s="2" t="str">
        <f>IF(EXACT(F632,"N"),CONCATENATE("R",ROW()),IF(EXACT(F632,"Y"),CONCATENATE("R",ROW()),""))</f>
        <v>R632</v>
      </c>
      <c r="B632" s="3" t="s">
        <v>2533</v>
      </c>
      <c r="C632" s="3" t="s">
        <v>1973</v>
      </c>
      <c r="E632" s="2" t="s">
        <v>2604</v>
      </c>
      <c r="F632" s="2" t="s">
        <v>776</v>
      </c>
      <c r="K632" s="2" t="s">
        <v>2076</v>
      </c>
      <c r="M632" s="2">
        <v>1</v>
      </c>
    </row>
    <row r="633" spans="1:13" ht="15" customHeight="1" x14ac:dyDescent="0.25">
      <c r="B633" s="3"/>
      <c r="C633" s="3"/>
    </row>
    <row r="634" spans="1:13" ht="15" customHeight="1" x14ac:dyDescent="0.25">
      <c r="A634" s="2" t="str">
        <f>IF(EXACT(F634,"N"),CONCATENATE("R",ROW()),IF(EXACT(F634,"Y"),CONCATENATE("R",ROW()),""))</f>
        <v>R634</v>
      </c>
      <c r="B634" s="2" t="s">
        <v>1905</v>
      </c>
      <c r="C634" s="2" t="s">
        <v>1906</v>
      </c>
      <c r="E634" s="2" t="s">
        <v>376</v>
      </c>
      <c r="F634" s="2" t="s">
        <v>746</v>
      </c>
      <c r="K634" s="2" t="s">
        <v>2076</v>
      </c>
      <c r="M634" s="2">
        <v>1</v>
      </c>
    </row>
    <row r="635" spans="1:13" ht="15" customHeight="1" x14ac:dyDescent="0.25">
      <c r="A635" s="2" t="str">
        <f>IF(EXACT(F635,"N"),CONCATENATE("R",ROW()),IF(EXACT(F635,"Y"),CONCATENATE("R",ROW()),""))</f>
        <v>R635</v>
      </c>
      <c r="B635" s="2" t="s">
        <v>1908</v>
      </c>
      <c r="C635" s="2" t="s">
        <v>2022</v>
      </c>
      <c r="E635" s="2" t="s">
        <v>376</v>
      </c>
      <c r="F635" s="2" t="s">
        <v>746</v>
      </c>
      <c r="K635" s="2" t="s">
        <v>2076</v>
      </c>
      <c r="M635" s="2">
        <v>1</v>
      </c>
    </row>
    <row r="636" spans="1:13" ht="15" customHeight="1" x14ac:dyDescent="0.25">
      <c r="A636" s="2" t="str">
        <f>IF(EXACT(F636,"N"),CONCATENATE("R",ROW()),IF(EXACT(F636,"Y"),CONCATENATE("R",ROW()),""))</f>
        <v>R636</v>
      </c>
      <c r="B636" s="2" t="s">
        <v>2048</v>
      </c>
      <c r="C636" s="2" t="s">
        <v>2050</v>
      </c>
      <c r="D636" s="31"/>
      <c r="E636" s="2" t="s">
        <v>376</v>
      </c>
      <c r="F636" s="2" t="s">
        <v>746</v>
      </c>
      <c r="K636" s="2" t="s">
        <v>2076</v>
      </c>
      <c r="M636" s="2">
        <v>1</v>
      </c>
    </row>
    <row r="637" spans="1:13" ht="15" customHeight="1" x14ac:dyDescent="0.25">
      <c r="A637" s="2" t="str">
        <f>IF(EXACT(F637,"N"),CONCATENATE("R",ROW()),IF(EXACT(F637,"Y"),CONCATENATE("R",ROW()),""))</f>
        <v>R637</v>
      </c>
      <c r="B637" s="2" t="s">
        <v>2049</v>
      </c>
      <c r="C637" s="2" t="s">
        <v>2051</v>
      </c>
      <c r="E637" s="2" t="s">
        <v>376</v>
      </c>
      <c r="F637" s="2" t="s">
        <v>746</v>
      </c>
      <c r="K637" s="2" t="s">
        <v>2076</v>
      </c>
      <c r="M637" s="2">
        <v>1</v>
      </c>
    </row>
    <row r="639" spans="1:13" ht="15" customHeight="1" x14ac:dyDescent="0.25">
      <c r="A639" s="2" t="str">
        <f>IF(EXACT(F639,"N"),CONCATENATE("R",ROW()),IF(EXACT(F639,"Y"),CONCATENATE("R",ROW()),""))</f>
        <v>R639</v>
      </c>
      <c r="B639" s="2" t="s">
        <v>1971</v>
      </c>
      <c r="C639" s="2" t="s">
        <v>1972</v>
      </c>
      <c r="E639" s="2" t="s">
        <v>376</v>
      </c>
      <c r="F639" s="2" t="s">
        <v>776</v>
      </c>
      <c r="K639" s="2" t="s">
        <v>2076</v>
      </c>
      <c r="M639" s="2">
        <v>1</v>
      </c>
    </row>
    <row r="640" spans="1:13" ht="15" customHeight="1" x14ac:dyDescent="0.25">
      <c r="A640" s="2" t="str">
        <f>IF(EXACT(F640,"N"),CONCATENATE("R",ROW()),IF(EXACT(F640,"Y"),CONCATENATE("R",ROW()),""))</f>
        <v>R640</v>
      </c>
      <c r="B640" s="2" t="s">
        <v>2534</v>
      </c>
      <c r="C640" s="2" t="s">
        <v>98</v>
      </c>
      <c r="E640" s="3" t="s">
        <v>1876</v>
      </c>
      <c r="F640" s="2" t="s">
        <v>776</v>
      </c>
      <c r="G640" s="3">
        <v>2504813199</v>
      </c>
      <c r="H640" s="3" t="s">
        <v>1877</v>
      </c>
      <c r="I640" s="25" t="s">
        <v>1878</v>
      </c>
      <c r="J640" s="25" t="s">
        <v>1879</v>
      </c>
      <c r="K640" s="2" t="s">
        <v>2076</v>
      </c>
      <c r="M640" s="2">
        <v>1</v>
      </c>
    </row>
    <row r="641" spans="1:13" ht="15" customHeight="1" x14ac:dyDescent="0.25">
      <c r="A641" s="2" t="str">
        <f>IF(EXACT(F641,"N"),CONCATENATE("R",ROW()),IF(EXACT(F641,"Y"),CONCATENATE("R",ROW()),""))</f>
        <v>R641</v>
      </c>
      <c r="B641" s="2" t="s">
        <v>2535</v>
      </c>
      <c r="C641" s="2" t="s">
        <v>99</v>
      </c>
      <c r="E641" s="2" t="s">
        <v>376</v>
      </c>
      <c r="F641" s="2" t="s">
        <v>746</v>
      </c>
      <c r="K641" s="2" t="s">
        <v>2076</v>
      </c>
      <c r="M641" s="2">
        <v>1</v>
      </c>
    </row>
    <row r="642" spans="1:13" ht="15" customHeight="1" x14ac:dyDescent="0.25">
      <c r="A642" s="2" t="str">
        <f>IF(EXACT(F642,"N"),CONCATENATE("R",ROW()),IF(EXACT(F642,"Y"),CONCATENATE("R",ROW()),""))</f>
        <v>R642</v>
      </c>
      <c r="B642" s="2" t="s">
        <v>2536</v>
      </c>
      <c r="C642" s="2" t="s">
        <v>116</v>
      </c>
      <c r="E642" s="3" t="s">
        <v>1864</v>
      </c>
      <c r="F642" s="2" t="s">
        <v>746</v>
      </c>
      <c r="G642" s="3">
        <v>2504813453</v>
      </c>
      <c r="H642" s="3" t="s">
        <v>1865</v>
      </c>
      <c r="I642" s="25" t="s">
        <v>1866</v>
      </c>
      <c r="J642" s="25" t="s">
        <v>1867</v>
      </c>
      <c r="K642" s="2" t="s">
        <v>2076</v>
      </c>
      <c r="M642" s="2">
        <v>1</v>
      </c>
    </row>
    <row r="643" spans="1:13" ht="15" customHeight="1" x14ac:dyDescent="0.25">
      <c r="A643" s="2" t="str">
        <f>IF(EXACT(F643,"N"),CONCATENATE("R",ROW()),IF(EXACT(F643,"Y"),CONCATENATE("R",ROW()),""))</f>
        <v/>
      </c>
      <c r="E643" s="3" t="s">
        <v>1868</v>
      </c>
      <c r="G643" s="29">
        <v>2504813454</v>
      </c>
      <c r="H643" s="3" t="s">
        <v>1869</v>
      </c>
      <c r="I643" s="25" t="s">
        <v>1870</v>
      </c>
      <c r="J643" s="25" t="s">
        <v>1871</v>
      </c>
      <c r="K643" s="2" t="s">
        <v>2076</v>
      </c>
    </row>
    <row r="644" spans="1:13" ht="15" customHeight="1" x14ac:dyDescent="0.25">
      <c r="E644" s="3"/>
      <c r="G644" s="29"/>
      <c r="H644" s="3"/>
      <c r="I644" s="25"/>
      <c r="J644" s="25"/>
    </row>
    <row r="645" spans="1:13" ht="15" customHeight="1" x14ac:dyDescent="0.25">
      <c r="A645" s="2" t="str">
        <f>IF(EXACT(F645,"N"),CONCATENATE("R",ROW()),IF(EXACT(F645,"Y"),CONCATENATE("R",ROW()),""))</f>
        <v>R645</v>
      </c>
      <c r="B645" s="2" t="s">
        <v>2341</v>
      </c>
      <c r="C645" s="2" t="s">
        <v>75</v>
      </c>
      <c r="E645" s="2" t="s">
        <v>376</v>
      </c>
      <c r="F645" s="2" t="s">
        <v>746</v>
      </c>
      <c r="K645" s="2" t="s">
        <v>2076</v>
      </c>
      <c r="M645" s="2">
        <v>1</v>
      </c>
    </row>
    <row r="647" spans="1:13" ht="15" customHeight="1" x14ac:dyDescent="0.25">
      <c r="A647" s="2" t="str">
        <f>IF(EXACT(F647,"N"),CONCATENATE("R",ROW()),IF(EXACT(F647,"Y"),CONCATENATE("R",ROW()),""))</f>
        <v>R647</v>
      </c>
      <c r="B647" s="2" t="s">
        <v>2537</v>
      </c>
      <c r="C647" s="2" t="s">
        <v>185</v>
      </c>
      <c r="E647" s="2" t="s">
        <v>1863</v>
      </c>
      <c r="F647" s="2" t="s">
        <v>746</v>
      </c>
      <c r="K647" s="2" t="s">
        <v>2076</v>
      </c>
      <c r="M647" s="2">
        <v>1</v>
      </c>
    </row>
    <row r="649" spans="1:13" ht="15" customHeight="1" x14ac:dyDescent="0.25">
      <c r="A649" s="2" t="str">
        <f>IF(EXACT(F649,"N"),CONCATENATE("R",ROW()),IF(EXACT(F649,"Y"),CONCATENATE("R",ROW()),""))</f>
        <v>R649</v>
      </c>
      <c r="B649" s="2" t="s">
        <v>2538</v>
      </c>
      <c r="C649" s="2" t="s">
        <v>64</v>
      </c>
      <c r="E649" s="2" t="s">
        <v>1863</v>
      </c>
      <c r="F649" s="2" t="s">
        <v>776</v>
      </c>
      <c r="K649" s="2" t="s">
        <v>2076</v>
      </c>
      <c r="M649" s="2">
        <v>1</v>
      </c>
    </row>
    <row r="651" spans="1:13" ht="15" customHeight="1" x14ac:dyDescent="0.25">
      <c r="A651" s="2" t="str">
        <f>IF(EXACT(F651,"N"),CONCATENATE("R",ROW()),IF(EXACT(F651,"Y"),CONCATENATE("R",ROW()),""))</f>
        <v>R651</v>
      </c>
      <c r="B651" s="2" t="s">
        <v>2539</v>
      </c>
      <c r="C651" s="2" t="s">
        <v>37</v>
      </c>
      <c r="E651" s="2" t="s">
        <v>1863</v>
      </c>
      <c r="F651" s="2" t="s">
        <v>776</v>
      </c>
      <c r="K651" s="2" t="s">
        <v>2076</v>
      </c>
      <c r="M651" s="2">
        <v>1</v>
      </c>
    </row>
    <row r="653" spans="1:13" ht="15" customHeight="1" x14ac:dyDescent="0.25">
      <c r="A653" s="2" t="str">
        <f>IF(EXACT(F653,"N"),CONCATENATE("R",ROW()),IF(EXACT(F653,"Y"),CONCATENATE("R",ROW()),""))</f>
        <v>R653</v>
      </c>
      <c r="B653" s="2" t="s">
        <v>2540</v>
      </c>
      <c r="C653" s="2" t="s">
        <v>36</v>
      </c>
      <c r="E653" s="2" t="s">
        <v>376</v>
      </c>
      <c r="F653" s="2" t="s">
        <v>746</v>
      </c>
      <c r="K653" s="2" t="s">
        <v>2076</v>
      </c>
      <c r="M653" s="2">
        <v>1</v>
      </c>
    </row>
    <row r="655" spans="1:13" ht="15" customHeight="1" x14ac:dyDescent="0.25">
      <c r="A655" s="2" t="str">
        <f>IF(EXACT(F655,"N"),CONCATENATE("R",ROW()),IF(EXACT(F655,"Y"),CONCATENATE("R",ROW()),""))</f>
        <v>R655</v>
      </c>
      <c r="B655" s="30" t="s">
        <v>2541</v>
      </c>
      <c r="C655" s="2" t="s">
        <v>1974</v>
      </c>
      <c r="F655" s="2" t="s">
        <v>746</v>
      </c>
      <c r="K655" s="2" t="s">
        <v>2076</v>
      </c>
      <c r="M655" s="2">
        <v>1</v>
      </c>
    </row>
    <row r="656" spans="1:13" ht="15" customHeight="1" x14ac:dyDescent="0.25">
      <c r="A656" s="2" t="str">
        <f>IF(EXACT(F656,"N"),CONCATENATE("R",ROW()),IF(EXACT(F656,"Y"),CONCATENATE("R",ROW()),""))</f>
        <v>R656</v>
      </c>
      <c r="B656" s="30" t="s">
        <v>2542</v>
      </c>
      <c r="C656" s="2" t="s">
        <v>2034</v>
      </c>
      <c r="F656" s="2" t="s">
        <v>746</v>
      </c>
      <c r="K656" s="2" t="s">
        <v>2076</v>
      </c>
      <c r="M656" s="2">
        <v>1</v>
      </c>
    </row>
    <row r="657" spans="1:13" ht="15" customHeight="1" x14ac:dyDescent="0.25">
      <c r="A657" s="2" t="str">
        <f>IF(EXACT(F657,"N"),CONCATENATE("R",ROW()),IF(EXACT(F657,"Y"),CONCATENATE("R",ROW()),""))</f>
        <v>R657</v>
      </c>
      <c r="B657" s="30" t="s">
        <v>2543</v>
      </c>
      <c r="C657" s="2" t="s">
        <v>1975</v>
      </c>
      <c r="F657" s="2" t="s">
        <v>746</v>
      </c>
      <c r="K657" s="2" t="s">
        <v>2076</v>
      </c>
      <c r="M657" s="2">
        <v>1</v>
      </c>
    </row>
    <row r="658" spans="1:13" ht="15" customHeight="1" x14ac:dyDescent="0.25">
      <c r="A658" s="2" t="str">
        <f>IF(EXACT(F658,"N"),CONCATENATE("R",ROW()),IF(EXACT(F658,"Y"),CONCATENATE("R",ROW()),""))</f>
        <v>R658</v>
      </c>
      <c r="B658" s="30" t="s">
        <v>2544</v>
      </c>
      <c r="C658" s="2" t="s">
        <v>1976</v>
      </c>
      <c r="F658" s="2" t="s">
        <v>746</v>
      </c>
      <c r="K658" s="2" t="s">
        <v>2076</v>
      </c>
      <c r="M658" s="2">
        <v>1</v>
      </c>
    </row>
    <row r="659" spans="1:13" ht="15" customHeight="1" x14ac:dyDescent="0.25">
      <c r="A659" s="2" t="str">
        <f>IF(EXACT(F659,"N"),CONCATENATE("R",ROW()),IF(EXACT(F659,"Y"),CONCATENATE("R",ROW()),""))</f>
        <v>R659</v>
      </c>
      <c r="B659" s="30" t="s">
        <v>2545</v>
      </c>
      <c r="C659" s="2" t="s">
        <v>2033</v>
      </c>
      <c r="F659" s="2" t="s">
        <v>746</v>
      </c>
      <c r="K659" s="2" t="s">
        <v>2076</v>
      </c>
      <c r="M659" s="2">
        <v>1</v>
      </c>
    </row>
    <row r="660" spans="1:13" ht="15" customHeight="1" x14ac:dyDescent="0.25">
      <c r="A660" s="2" t="str">
        <f t="shared" ref="A660:A680" si="7">IF(EXACT(F660,"N"),CONCATENATE("R",ROW()),IF(EXACT(F660,"Y"),CONCATENATE("R",ROW()),""))</f>
        <v>R660</v>
      </c>
      <c r="B660" s="30" t="s">
        <v>2546</v>
      </c>
      <c r="C660" s="2" t="s">
        <v>1977</v>
      </c>
      <c r="F660" s="2" t="s">
        <v>746</v>
      </c>
      <c r="K660" s="2" t="s">
        <v>2076</v>
      </c>
      <c r="M660" s="2">
        <v>1</v>
      </c>
    </row>
    <row r="661" spans="1:13" ht="15" customHeight="1" x14ac:dyDescent="0.25">
      <c r="A661" s="2" t="str">
        <f t="shared" si="7"/>
        <v>R661</v>
      </c>
      <c r="B661" s="30" t="s">
        <v>2547</v>
      </c>
      <c r="C661" s="2" t="s">
        <v>2032</v>
      </c>
      <c r="F661" s="2" t="s">
        <v>746</v>
      </c>
      <c r="K661" s="2" t="s">
        <v>2076</v>
      </c>
      <c r="M661" s="2">
        <v>1</v>
      </c>
    </row>
    <row r="662" spans="1:13" ht="15" customHeight="1" x14ac:dyDescent="0.25">
      <c r="A662" s="2" t="str">
        <f t="shared" si="7"/>
        <v>R662</v>
      </c>
      <c r="B662" s="30" t="s">
        <v>2548</v>
      </c>
      <c r="C662" s="2" t="s">
        <v>2023</v>
      </c>
      <c r="F662" s="2" t="s">
        <v>746</v>
      </c>
      <c r="K662" s="2" t="s">
        <v>2076</v>
      </c>
      <c r="M662" s="2">
        <v>1</v>
      </c>
    </row>
    <row r="663" spans="1:13" ht="15" customHeight="1" x14ac:dyDescent="0.25">
      <c r="A663" s="2" t="str">
        <f t="shared" si="7"/>
        <v>R663</v>
      </c>
      <c r="B663" s="30" t="s">
        <v>2549</v>
      </c>
      <c r="C663" s="2" t="s">
        <v>2031</v>
      </c>
      <c r="F663" s="2" t="s">
        <v>746</v>
      </c>
      <c r="K663" s="2" t="s">
        <v>2076</v>
      </c>
      <c r="M663" s="2">
        <v>1</v>
      </c>
    </row>
    <row r="664" spans="1:13" ht="15" customHeight="1" x14ac:dyDescent="0.25">
      <c r="A664" s="2" t="str">
        <f t="shared" si="7"/>
        <v>R664</v>
      </c>
      <c r="B664" s="30" t="s">
        <v>2550</v>
      </c>
      <c r="C664" s="2" t="s">
        <v>2024</v>
      </c>
      <c r="F664" s="2" t="s">
        <v>746</v>
      </c>
      <c r="K664" s="2" t="s">
        <v>2076</v>
      </c>
      <c r="M664" s="2">
        <v>1</v>
      </c>
    </row>
    <row r="665" spans="1:13" ht="15" customHeight="1" x14ac:dyDescent="0.25">
      <c r="A665" s="2" t="str">
        <f t="shared" si="7"/>
        <v>R665</v>
      </c>
      <c r="B665" s="30" t="s">
        <v>2551</v>
      </c>
      <c r="C665" s="2" t="s">
        <v>2030</v>
      </c>
      <c r="F665" s="2" t="s">
        <v>746</v>
      </c>
      <c r="K665" s="2" t="s">
        <v>2076</v>
      </c>
      <c r="M665" s="2">
        <v>1</v>
      </c>
    </row>
    <row r="666" spans="1:13" ht="15" customHeight="1" x14ac:dyDescent="0.25">
      <c r="A666" s="2" t="str">
        <f t="shared" si="7"/>
        <v>R666</v>
      </c>
      <c r="B666" s="30" t="s">
        <v>2552</v>
      </c>
      <c r="C666" s="2" t="s">
        <v>2029</v>
      </c>
      <c r="F666" s="2" t="s">
        <v>746</v>
      </c>
      <c r="K666" s="2" t="s">
        <v>2076</v>
      </c>
      <c r="M666" s="2">
        <v>1</v>
      </c>
    </row>
    <row r="667" spans="1:13" ht="15" customHeight="1" x14ac:dyDescent="0.25">
      <c r="A667" s="2" t="str">
        <f t="shared" si="7"/>
        <v>R667</v>
      </c>
      <c r="B667" s="30" t="s">
        <v>2553</v>
      </c>
      <c r="C667" s="2" t="s">
        <v>1978</v>
      </c>
      <c r="F667" s="2" t="s">
        <v>746</v>
      </c>
      <c r="K667" s="2" t="s">
        <v>2076</v>
      </c>
      <c r="M667" s="2">
        <v>1</v>
      </c>
    </row>
    <row r="668" spans="1:13" ht="15" customHeight="1" x14ac:dyDescent="0.25">
      <c r="A668" s="2" t="str">
        <f t="shared" si="7"/>
        <v>R668</v>
      </c>
      <c r="B668" s="30" t="s">
        <v>2554</v>
      </c>
      <c r="C668" s="2" t="s">
        <v>1979</v>
      </c>
      <c r="F668" s="2" t="s">
        <v>746</v>
      </c>
      <c r="K668" s="2" t="s">
        <v>2076</v>
      </c>
      <c r="M668" s="2">
        <v>1</v>
      </c>
    </row>
    <row r="669" spans="1:13" ht="15" customHeight="1" x14ac:dyDescent="0.25">
      <c r="A669" s="2" t="str">
        <f t="shared" si="7"/>
        <v>R669</v>
      </c>
      <c r="B669" s="30" t="s">
        <v>2555</v>
      </c>
      <c r="C669" s="2" t="s">
        <v>2028</v>
      </c>
      <c r="F669" s="2" t="s">
        <v>746</v>
      </c>
      <c r="K669" s="2" t="s">
        <v>2076</v>
      </c>
      <c r="M669" s="2">
        <v>1</v>
      </c>
    </row>
    <row r="670" spans="1:13" ht="15" customHeight="1" x14ac:dyDescent="0.25">
      <c r="A670" s="2" t="str">
        <f t="shared" si="7"/>
        <v>R670</v>
      </c>
      <c r="B670" s="30" t="s">
        <v>2556</v>
      </c>
      <c r="C670" s="2" t="s">
        <v>2027</v>
      </c>
      <c r="F670" s="2" t="s">
        <v>746</v>
      </c>
      <c r="K670" s="2" t="s">
        <v>2076</v>
      </c>
      <c r="M670" s="2">
        <v>1</v>
      </c>
    </row>
    <row r="671" spans="1:13" ht="15" customHeight="1" x14ac:dyDescent="0.25">
      <c r="A671" s="2" t="str">
        <f t="shared" si="7"/>
        <v>R671</v>
      </c>
      <c r="B671" s="30" t="s">
        <v>2557</v>
      </c>
      <c r="C671" s="2" t="s">
        <v>1980</v>
      </c>
      <c r="F671" s="2" t="s">
        <v>746</v>
      </c>
      <c r="K671" s="2" t="s">
        <v>2076</v>
      </c>
      <c r="M671" s="2">
        <v>1</v>
      </c>
    </row>
    <row r="672" spans="1:13" ht="15" customHeight="1" x14ac:dyDescent="0.25">
      <c r="A672" s="2" t="str">
        <f t="shared" si="7"/>
        <v>R672</v>
      </c>
      <c r="B672" s="30" t="s">
        <v>2558</v>
      </c>
      <c r="C672" s="2" t="s">
        <v>2025</v>
      </c>
      <c r="F672" s="2" t="s">
        <v>746</v>
      </c>
      <c r="K672" s="2" t="s">
        <v>2076</v>
      </c>
      <c r="M672" s="2">
        <v>1</v>
      </c>
    </row>
    <row r="673" spans="1:13" ht="15" customHeight="1" x14ac:dyDescent="0.25">
      <c r="A673" s="2" t="str">
        <f t="shared" si="7"/>
        <v>R673</v>
      </c>
      <c r="B673" s="30" t="s">
        <v>2559</v>
      </c>
      <c r="C673" s="2" t="s">
        <v>2026</v>
      </c>
      <c r="F673" s="2" t="s">
        <v>746</v>
      </c>
      <c r="K673" s="2" t="s">
        <v>2076</v>
      </c>
      <c r="M673" s="2">
        <v>1</v>
      </c>
    </row>
    <row r="674" spans="1:13" ht="15" customHeight="1" x14ac:dyDescent="0.25">
      <c r="A674" s="2" t="str">
        <f t="shared" si="7"/>
        <v>R674</v>
      </c>
      <c r="B674" s="30" t="s">
        <v>2560</v>
      </c>
      <c r="C674" s="2" t="s">
        <v>1981</v>
      </c>
      <c r="F674" s="2" t="s">
        <v>746</v>
      </c>
      <c r="K674" s="2" t="s">
        <v>2076</v>
      </c>
      <c r="M674" s="2">
        <v>1</v>
      </c>
    </row>
    <row r="675" spans="1:13" ht="15" customHeight="1" x14ac:dyDescent="0.25">
      <c r="A675" s="2" t="str">
        <f>IF(EXACT(F675,"N"),CONCATENATE("R",ROW()),IF(EXACT(F675,"Y"),CONCATENATE("R",ROW()),""))</f>
        <v>R675</v>
      </c>
      <c r="B675" s="3" t="s">
        <v>2561</v>
      </c>
      <c r="C675" s="3" t="s">
        <v>2632</v>
      </c>
      <c r="F675" s="2" t="s">
        <v>746</v>
      </c>
      <c r="K675" s="2" t="s">
        <v>2076</v>
      </c>
      <c r="M675" s="2">
        <v>1</v>
      </c>
    </row>
    <row r="676" spans="1:13" ht="15" customHeight="1" x14ac:dyDescent="0.25">
      <c r="B676" s="30"/>
    </row>
    <row r="677" spans="1:13" ht="15" customHeight="1" x14ac:dyDescent="0.25">
      <c r="A677" s="2" t="str">
        <f t="shared" si="7"/>
        <v>R677</v>
      </c>
      <c r="B677" s="2" t="s">
        <v>1910</v>
      </c>
      <c r="C677" s="2" t="s">
        <v>1986</v>
      </c>
      <c r="F677" s="2" t="s">
        <v>746</v>
      </c>
      <c r="K677" s="2" t="s">
        <v>2076</v>
      </c>
      <c r="M677" s="2">
        <v>1</v>
      </c>
    </row>
    <row r="678" spans="1:13" ht="15" customHeight="1" x14ac:dyDescent="0.25">
      <c r="A678" s="2" t="str">
        <f t="shared" si="7"/>
        <v>R678</v>
      </c>
      <c r="B678" s="2" t="s">
        <v>1911</v>
      </c>
      <c r="C678" s="2" t="s">
        <v>1987</v>
      </c>
      <c r="F678" s="2" t="s">
        <v>746</v>
      </c>
      <c r="K678" s="2" t="s">
        <v>2076</v>
      </c>
      <c r="M678" s="2">
        <v>1</v>
      </c>
    </row>
    <row r="679" spans="1:13" ht="15" customHeight="1" x14ac:dyDescent="0.25">
      <c r="A679" s="2" t="str">
        <f t="shared" si="7"/>
        <v>R679</v>
      </c>
      <c r="B679" s="2" t="s">
        <v>1912</v>
      </c>
      <c r="C679" s="2" t="s">
        <v>1988</v>
      </c>
      <c r="F679" s="2" t="s">
        <v>746</v>
      </c>
      <c r="K679" s="2" t="s">
        <v>2076</v>
      </c>
      <c r="M679" s="2">
        <v>1</v>
      </c>
    </row>
    <row r="680" spans="1:13" ht="15" customHeight="1" x14ac:dyDescent="0.25">
      <c r="A680" s="2" t="str">
        <f t="shared" si="7"/>
        <v>R680</v>
      </c>
      <c r="B680" s="2" t="s">
        <v>1913</v>
      </c>
      <c r="C680" s="2" t="s">
        <v>1989</v>
      </c>
      <c r="F680" s="2" t="s">
        <v>746</v>
      </c>
      <c r="K680" s="2" t="s">
        <v>2076</v>
      </c>
      <c r="M680" s="2">
        <v>1</v>
      </c>
    </row>
    <row r="681" spans="1:13" ht="15" customHeight="1" x14ac:dyDescent="0.25">
      <c r="A681" s="2" t="str">
        <f>IF(EXACT(F681,"N"),CONCATENATE("R",ROW()),IF(EXACT(F681,"Y"),CONCATENATE("R",ROW()),""))</f>
        <v>R681</v>
      </c>
      <c r="B681" s="3" t="s">
        <v>2562</v>
      </c>
      <c r="C681" s="3" t="s">
        <v>186</v>
      </c>
      <c r="F681" s="2" t="s">
        <v>746</v>
      </c>
      <c r="K681" s="2" t="s">
        <v>2076</v>
      </c>
      <c r="M681" s="2">
        <v>1</v>
      </c>
    </row>
    <row r="683" spans="1:13" ht="15" customHeight="1" x14ac:dyDescent="0.25">
      <c r="A683" s="2" t="str">
        <f>IF(EXACT(F683,"N"),CONCATENATE("R",ROW()),IF(EXACT(F683,"Y"),CONCATENATE("R",ROW()),""))</f>
        <v>R683</v>
      </c>
      <c r="B683" s="2" t="s">
        <v>2563</v>
      </c>
      <c r="C683" s="2" t="s">
        <v>2154</v>
      </c>
      <c r="E683" s="2" t="s">
        <v>1896</v>
      </c>
      <c r="F683" s="2" t="s">
        <v>746</v>
      </c>
      <c r="K683" s="2" t="s">
        <v>2076</v>
      </c>
      <c r="M683" s="2">
        <v>1</v>
      </c>
    </row>
    <row r="685" spans="1:13" ht="15" customHeight="1" x14ac:dyDescent="0.25">
      <c r="A685" s="2" t="str">
        <f>IF(EXACT(F685,"N"),CONCATENATE("R",ROW()),IF(EXACT(F685,"Y"),CONCATENATE("R",ROW()),""))</f>
        <v>R685</v>
      </c>
      <c r="B685" s="2" t="s">
        <v>1952</v>
      </c>
      <c r="C685" s="2" t="s">
        <v>1953</v>
      </c>
      <c r="F685" s="2" t="s">
        <v>746</v>
      </c>
      <c r="K685" s="2" t="s">
        <v>2076</v>
      </c>
      <c r="M685" s="2">
        <v>1</v>
      </c>
    </row>
    <row r="687" spans="1:13" ht="15" customHeight="1" x14ac:dyDescent="0.25">
      <c r="A687" s="2" t="str">
        <f>IF(EXACT(F687,"N"),CONCATENATE("R",ROW()),IF(EXACT(F687,"Y"),CONCATENATE("R",ROW()),""))</f>
        <v>R687</v>
      </c>
      <c r="B687" s="2" t="s">
        <v>1945</v>
      </c>
      <c r="C687" s="2" t="s">
        <v>1946</v>
      </c>
      <c r="F687" s="2" t="s">
        <v>746</v>
      </c>
      <c r="K687" s="2" t="s">
        <v>2076</v>
      </c>
      <c r="M687" s="2">
        <v>1</v>
      </c>
    </row>
    <row r="689" spans="1:13" ht="15" customHeight="1" x14ac:dyDescent="0.25">
      <c r="A689" s="2" t="str">
        <f>IF(EXACT(F689,"N"),CONCATENATE("R",ROW()),IF(EXACT(F689,"Y"),CONCATENATE("R",ROW()),""))</f>
        <v>R689</v>
      </c>
      <c r="B689" s="2" t="s">
        <v>1909</v>
      </c>
      <c r="C689" s="2" t="str">
        <f>BIOMASS_Myell!T57</f>
        <v>1 myell_biomass + 2.145 Maintenance_energy = 0.503 myell_rRNA + 0.075 caldarchaeol_di-P + 0.321 CELB + 0.053 myell_protein + 0.065 myell_DNA</v>
      </c>
      <c r="D689" s="31"/>
      <c r="F689" s="2" t="s">
        <v>746</v>
      </c>
      <c r="K689" s="2" t="s">
        <v>2076</v>
      </c>
      <c r="M689" s="2">
        <v>1</v>
      </c>
    </row>
    <row r="691" spans="1:13" ht="15" customHeight="1" x14ac:dyDescent="0.25">
      <c r="A691" s="2" t="str">
        <f>IF(EXACT(F691,"N"),CONCATENATE("R",ROW()),IF(EXACT(F691,"Y"),CONCATENATE("R",ROW()),""))</f>
        <v>R691</v>
      </c>
      <c r="B691" s="2" t="s">
        <v>2564</v>
      </c>
      <c r="C691" s="2" t="s">
        <v>88</v>
      </c>
      <c r="F691" s="2" t="s">
        <v>746</v>
      </c>
      <c r="K691" s="2" t="s">
        <v>2076</v>
      </c>
      <c r="M691" s="2">
        <v>1</v>
      </c>
    </row>
    <row r="693" spans="1:13" ht="15" customHeight="1" x14ac:dyDescent="0.25">
      <c r="A693" s="2" t="str">
        <f>IF(EXACT(F693,"N"),CONCATENATE("R",ROW()),IF(EXACT(F693,"Y"),CONCATENATE("R",ROW()),""))</f>
        <v>R693</v>
      </c>
      <c r="B693" s="2" t="s">
        <v>2565</v>
      </c>
      <c r="C693" s="2" t="s">
        <v>179</v>
      </c>
      <c r="F693" s="2" t="s">
        <v>746</v>
      </c>
      <c r="K693" s="2" t="s">
        <v>2076</v>
      </c>
      <c r="M693" s="2">
        <v>0</v>
      </c>
    </row>
  </sheetData>
  <phoneticPr fontId="4" type="noConversion"/>
  <hyperlinks>
    <hyperlink ref="A1" r:id="rId1" display="https://img.jgi.doe.gov/cgi-bin/w/main.cgi?section=TaxonDetail&amp;page=taxonDetail&amp;taxon_oid=2504756013"/>
  </hyperlinks>
  <pageMargins left="0.7" right="0.7" top="0.75" bottom="0.75" header="0.3" footer="0.3"/>
  <pageSetup scale="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L291"/>
  <sheetViews>
    <sheetView topLeftCell="F239" zoomScale="70" zoomScaleNormal="70" workbookViewId="0">
      <selection activeCell="G298" sqref="G298"/>
    </sheetView>
  </sheetViews>
  <sheetFormatPr defaultRowHeight="15" x14ac:dyDescent="0.25"/>
  <cols>
    <col min="1" max="1" width="6.85546875" customWidth="1"/>
    <col min="2" max="2" width="30" customWidth="1"/>
    <col min="3" max="4" width="4.7109375" bestFit="1" customWidth="1"/>
    <col min="6" max="6" width="6.42578125" bestFit="1" customWidth="1"/>
    <col min="7" max="7" width="153.28515625" customWidth="1"/>
    <col min="8" max="8" width="2" bestFit="1" customWidth="1"/>
    <col min="9" max="9" width="2.5703125" bestFit="1" customWidth="1"/>
    <col min="10" max="10" width="4.5703125" bestFit="1" customWidth="1"/>
    <col min="11" max="11" width="3.5703125" bestFit="1" customWidth="1"/>
    <col min="12" max="16" width="2.5703125" bestFit="1" customWidth="1"/>
    <col min="17" max="17" width="6.28515625" bestFit="1" customWidth="1"/>
    <col min="31" max="31" width="13.7109375" hidden="1" customWidth="1"/>
    <col min="32" max="34" width="0" hidden="1" customWidth="1"/>
    <col min="35" max="35" width="11.28515625" hidden="1" customWidth="1"/>
    <col min="36" max="36" width="11.140625" hidden="1" customWidth="1"/>
    <col min="37" max="37" width="14" hidden="1" customWidth="1"/>
    <col min="38" max="38" width="255.7109375" bestFit="1" customWidth="1"/>
  </cols>
  <sheetData>
    <row r="1" spans="1:38" x14ac:dyDescent="0.25">
      <c r="A1" t="str">
        <f>Master!A4</f>
        <v>R4</v>
      </c>
      <c r="B1" t="str">
        <f>Master!C4</f>
        <v xml:space="preserve">1 CELB + 1 H2O = 2 D-glucose </v>
      </c>
      <c r="C1" t="str">
        <f>Master!F4</f>
        <v>N</v>
      </c>
      <c r="D1">
        <f>Master!M4</f>
        <v>1</v>
      </c>
      <c r="E1" t="s">
        <v>2630</v>
      </c>
      <c r="F1" s="37" t="str">
        <f t="shared" ref="F1:F64" si="0">A1</f>
        <v>R4</v>
      </c>
      <c r="G1" s="37" t="str">
        <f t="shared" ref="G1:G64" si="1">B1</f>
        <v xml:space="preserve">1 CELB + 1 H2O = 2 D-glucose </v>
      </c>
      <c r="H1" s="37" t="s">
        <v>1027</v>
      </c>
      <c r="I1" s="37" t="s">
        <v>1028</v>
      </c>
      <c r="J1" s="37" t="str">
        <f t="shared" ref="J1:J64" si="2">IF(EXACT(C1,"Y"),"-inf","0")</f>
        <v>0</v>
      </c>
      <c r="K1" s="37" t="s">
        <v>195</v>
      </c>
      <c r="L1" s="37">
        <v>0</v>
      </c>
      <c r="M1" s="37">
        <v>0</v>
      </c>
      <c r="N1" s="37">
        <v>1</v>
      </c>
      <c r="O1" s="37">
        <v>1</v>
      </c>
      <c r="P1" s="37">
        <v>0</v>
      </c>
      <c r="Q1" s="37">
        <v>0.01</v>
      </c>
      <c r="AE1" t="str">
        <f>CONCATENATE(D1,$E$1,D2)</f>
        <v>1;1</v>
      </c>
      <c r="AF1" t="str">
        <f>CONCATENATE(AE1,$E$1,AE3)</f>
        <v>1;1;1;1</v>
      </c>
      <c r="AG1" t="str">
        <f>CONCATENATE(AF1,$E$1,AF5)</f>
        <v>1;1;1;1;1;1;1;1</v>
      </c>
      <c r="AH1" t="str">
        <f>CONCATENATE(AG1,$E$1,AG9)</f>
        <v>1;1;1;1;1;1;1;1;1;1;1;1;1;1;1;1</v>
      </c>
      <c r="AI1" t="str">
        <f>CONCATENATE(AH1,$E$1,AH17)</f>
        <v>1;1;1;1;1;1;1;1;1;1;1;1;1;1;1;1;1;1;1;1;1;1;1;1;1;1;1;1;1;1;1;1</v>
      </c>
      <c r="AJ1" t="str">
        <f>CONCATENATE(AI1,$E$1,AI33)</f>
        <v>1;1;1;1;1;1;1;1;1;1;1;1;1;1;1;1;1;1;1;1;1;1;1;1;1;1;1;1;1;1;1;1;1;1;1;1;1;1;1;1;1;1;1;1;1;1;1;1;1;1;1;1;0;1;1;1;1;1;1;1;1;1;1;1</v>
      </c>
      <c r="AK1" t="str">
        <f>CONCATENATE(AJ1,$E$1,AJ65)</f>
        <v>1;1;1;1;1;1;1;1;1;1;1;1;1;1;1;1;1;1;1;1;1;1;1;1;1;1;1;1;1;1;1;1;1;1;1;1;1;1;1;1;1;1;1;1;1;1;1;1;1;1;1;1;0;1;1;1;1;1;1;1;1;1;1;1;1;1;1;1;1;1;1;1;1;1;1;1;1;3;1;1;1;1;1;1;1;1;1;1;1;1;1;1;1;1;1;1;1;1;1;1;1;1;1;1;1;1;1;1;1;1;1;1;1;1;1;1;1;1;1;1;1;1;1;0;1;1;3;1</v>
      </c>
      <c r="AL1" t="str">
        <f>CONCATENATE(AK1,$E$1,AK129,$E$1,AK257)</f>
        <v>1;1;1;1;1;1;1;1;1;1;1;1;1;1;1;1;1;1;1;1;1;1;1;1;1;1;1;1;1;1;1;1;1;1;1;1;1;1;1;1;1;1;1;1;1;1;1;1;1;1;1;1;0;1;1;1;1;1;1;1;1;1;1;1;1;1;1;1;1;1;1;1;1;1;1;1;1;3;1;1;1;1;1;1;1;1;1;1;1;1;1;1;1;1;1;1;1;1;1;1;1;1;1;1;1;1;1;1;1;1;1;1;1;1;1;1;1;1;1;1;1;1;1;0;1;1;3;1;1;3;1;1;1;5;1;3;1;5;5;4;3;1;1;1;1;3;12;8;1;1;3;1;1;1;1;1;1;1;1;1;1;1;1;1;1;1;1;1;1;1;1;1;1;1;1;1;1;1;1;4;4;1;1;1;1;1;1;1;1;1;1;1;1;1;1;1;1;1;1;1;1;1;1;1;1;1;1;1;1;1;1;1;1;1;1;1;4;3;7;1;1;6;2;0;0;0;0;1;1;1;1;1;1;1;1;1;1;1;1;1;0;1;1;1;1;1;1;1;1;1;1;1;1;1;1;1;1;1;1;1;1;1;1;1;1;1;1;1;1;1;1;1;1;1;1;1;1;1;1;1;1;1;1;1;1;1;1;1;1;1;0</v>
      </c>
    </row>
    <row r="2" spans="1:38" x14ac:dyDescent="0.25">
      <c r="A2" t="str">
        <f>Master!A6</f>
        <v>R6</v>
      </c>
      <c r="B2" t="str">
        <f>Master!C6</f>
        <v xml:space="preserve">1 ATP + 1 D-glucose = 1 ADP + 1 glucose-6-phosphate + 1 Proton </v>
      </c>
      <c r="C2" t="str">
        <f>Master!F6</f>
        <v>N</v>
      </c>
      <c r="D2">
        <f>Master!M6</f>
        <v>1</v>
      </c>
      <c r="F2" s="37" t="str">
        <f t="shared" si="0"/>
        <v>R6</v>
      </c>
      <c r="G2" s="37" t="str">
        <f t="shared" si="1"/>
        <v xml:space="preserve">1 ATP + 1 D-glucose = 1 ADP + 1 glucose-6-phosphate + 1 Proton </v>
      </c>
      <c r="H2" s="37" t="s">
        <v>1027</v>
      </c>
      <c r="I2" s="37" t="s">
        <v>1028</v>
      </c>
      <c r="J2" s="37" t="str">
        <f t="shared" si="2"/>
        <v>0</v>
      </c>
      <c r="K2" s="37" t="s">
        <v>195</v>
      </c>
      <c r="L2" s="37">
        <v>0</v>
      </c>
      <c r="M2" s="37">
        <v>0</v>
      </c>
      <c r="N2" s="37">
        <v>1</v>
      </c>
      <c r="O2" s="37">
        <v>1</v>
      </c>
      <c r="P2" s="37">
        <v>0</v>
      </c>
      <c r="Q2" s="37">
        <v>0.01</v>
      </c>
    </row>
    <row r="3" spans="1:38" x14ac:dyDescent="0.25">
      <c r="A3" t="str">
        <f>Master!A8</f>
        <v>R8</v>
      </c>
      <c r="B3" t="str">
        <f>Master!C8</f>
        <v xml:space="preserve">1 glucose-6-phosphate = 1 D-fructose-6-phosphate </v>
      </c>
      <c r="C3" t="str">
        <f>Master!F8</f>
        <v>Y</v>
      </c>
      <c r="D3">
        <f>Master!M8</f>
        <v>1</v>
      </c>
      <c r="F3" s="37" t="str">
        <f t="shared" si="0"/>
        <v>R8</v>
      </c>
      <c r="G3" s="37" t="str">
        <f t="shared" si="1"/>
        <v xml:space="preserve">1 glucose-6-phosphate = 1 D-fructose-6-phosphate </v>
      </c>
      <c r="H3" s="37" t="s">
        <v>1027</v>
      </c>
      <c r="I3" s="37" t="s">
        <v>1028</v>
      </c>
      <c r="J3" s="37" t="str">
        <f t="shared" si="2"/>
        <v>-inf</v>
      </c>
      <c r="K3" s="37" t="s">
        <v>195</v>
      </c>
      <c r="L3" s="37">
        <v>0</v>
      </c>
      <c r="M3" s="37">
        <v>0</v>
      </c>
      <c r="N3" s="37">
        <v>1</v>
      </c>
      <c r="O3" s="37">
        <v>1</v>
      </c>
      <c r="P3" s="37">
        <v>0</v>
      </c>
      <c r="Q3" s="37">
        <v>0.01</v>
      </c>
      <c r="AE3" t="str">
        <f t="shared" ref="AE3:AE65" si="3">CONCATENATE(D3,$E$1,D4)</f>
        <v>1;1</v>
      </c>
    </row>
    <row r="4" spans="1:38" x14ac:dyDescent="0.25">
      <c r="A4" t="str">
        <f>Master!A10</f>
        <v>R10</v>
      </c>
      <c r="B4" t="str">
        <f>Master!C10</f>
        <v>1 D-fructose-6-phosphate + 1 ATP = 1 D-fructose-1_6-bisphosphate + 1 ADP + 1 Proton</v>
      </c>
      <c r="C4" t="str">
        <f>Master!F10</f>
        <v>N</v>
      </c>
      <c r="D4">
        <f>Master!M10</f>
        <v>1</v>
      </c>
      <c r="F4" s="37" t="str">
        <f t="shared" si="0"/>
        <v>R10</v>
      </c>
      <c r="G4" s="37" t="str">
        <f t="shared" si="1"/>
        <v>1 D-fructose-6-phosphate + 1 ATP = 1 D-fructose-1_6-bisphosphate + 1 ADP + 1 Proton</v>
      </c>
      <c r="H4" s="37" t="s">
        <v>1027</v>
      </c>
      <c r="I4" s="37" t="s">
        <v>1028</v>
      </c>
      <c r="J4" s="37" t="str">
        <f t="shared" si="2"/>
        <v>0</v>
      </c>
      <c r="K4" s="37" t="s">
        <v>195</v>
      </c>
      <c r="L4" s="37">
        <v>0</v>
      </c>
      <c r="M4" s="37">
        <v>0</v>
      </c>
      <c r="N4" s="37">
        <v>1</v>
      </c>
      <c r="O4" s="37">
        <v>1</v>
      </c>
      <c r="P4" s="37">
        <v>0</v>
      </c>
      <c r="Q4" s="37">
        <v>0.01</v>
      </c>
    </row>
    <row r="5" spans="1:38" x14ac:dyDescent="0.25">
      <c r="A5" t="str">
        <f>Master!A12</f>
        <v>R12</v>
      </c>
      <c r="B5" t="str">
        <f>Master!C12</f>
        <v xml:space="preserve">1 D-fructose-1_6-bisphosphate + 1 H2O = 1 D-fructose-6-phosphate + 1 Phosphate </v>
      </c>
      <c r="C5" t="str">
        <f>Master!F12</f>
        <v>N</v>
      </c>
      <c r="D5">
        <f>Master!M12</f>
        <v>1</v>
      </c>
      <c r="F5" s="37" t="str">
        <f t="shared" si="0"/>
        <v>R12</v>
      </c>
      <c r="G5" s="37" t="str">
        <f t="shared" si="1"/>
        <v xml:space="preserve">1 D-fructose-1_6-bisphosphate + 1 H2O = 1 D-fructose-6-phosphate + 1 Phosphate </v>
      </c>
      <c r="H5" s="37" t="s">
        <v>1027</v>
      </c>
      <c r="I5" s="37" t="s">
        <v>1028</v>
      </c>
      <c r="J5" s="37" t="str">
        <f t="shared" si="2"/>
        <v>0</v>
      </c>
      <c r="K5" s="37" t="s">
        <v>195</v>
      </c>
      <c r="L5" s="37">
        <v>0</v>
      </c>
      <c r="M5" s="37">
        <v>0</v>
      </c>
      <c r="N5" s="37">
        <v>1</v>
      </c>
      <c r="O5" s="37">
        <v>1</v>
      </c>
      <c r="P5" s="37">
        <v>0</v>
      </c>
      <c r="Q5" s="37">
        <v>0.01</v>
      </c>
      <c r="AE5" t="str">
        <f t="shared" si="3"/>
        <v>1;1</v>
      </c>
      <c r="AF5" t="str">
        <f t="shared" ref="AF5:AF61" si="4">CONCATENATE(AE5,$E$1,AE7)</f>
        <v>1;1;1;1</v>
      </c>
    </row>
    <row r="6" spans="1:38" x14ac:dyDescent="0.25">
      <c r="A6" t="str">
        <f>Master!A13</f>
        <v>R13</v>
      </c>
      <c r="B6" t="str">
        <f>Master!C13</f>
        <v xml:space="preserve">1 D-fructose-1_6-bisphosphate = 1 DHAP + 1 Glyceraldehyde3-phosphate </v>
      </c>
      <c r="C6" t="str">
        <f>Master!F13</f>
        <v>Y</v>
      </c>
      <c r="D6">
        <f>Master!M13</f>
        <v>1</v>
      </c>
      <c r="F6" s="37" t="str">
        <f t="shared" si="0"/>
        <v>R13</v>
      </c>
      <c r="G6" s="37" t="str">
        <f t="shared" si="1"/>
        <v xml:space="preserve">1 D-fructose-1_6-bisphosphate = 1 DHAP + 1 Glyceraldehyde3-phosphate </v>
      </c>
      <c r="H6" s="37" t="s">
        <v>1027</v>
      </c>
      <c r="I6" s="37" t="s">
        <v>1028</v>
      </c>
      <c r="J6" s="37" t="str">
        <f t="shared" si="2"/>
        <v>-inf</v>
      </c>
      <c r="K6" s="37" t="s">
        <v>195</v>
      </c>
      <c r="L6" s="37">
        <v>0</v>
      </c>
      <c r="M6" s="37">
        <v>0</v>
      </c>
      <c r="N6" s="37">
        <v>1</v>
      </c>
      <c r="O6" s="37">
        <v>1</v>
      </c>
      <c r="P6" s="37">
        <v>0</v>
      </c>
      <c r="Q6" s="37">
        <v>0.01</v>
      </c>
    </row>
    <row r="7" spans="1:38" x14ac:dyDescent="0.25">
      <c r="A7" t="str">
        <f>Master!A15</f>
        <v>R15</v>
      </c>
      <c r="B7" t="str">
        <f>Master!C15</f>
        <v xml:space="preserve">1 Glyceraldehyde3-phosphate = 1 DHAP </v>
      </c>
      <c r="C7" t="str">
        <f>Master!F15</f>
        <v>Y</v>
      </c>
      <c r="D7">
        <f>Master!M15</f>
        <v>1</v>
      </c>
      <c r="F7" s="37" t="str">
        <f t="shared" si="0"/>
        <v>R15</v>
      </c>
      <c r="G7" s="37" t="str">
        <f t="shared" si="1"/>
        <v xml:space="preserve">1 Glyceraldehyde3-phosphate = 1 DHAP </v>
      </c>
      <c r="H7" s="37" t="s">
        <v>1027</v>
      </c>
      <c r="I7" s="37" t="s">
        <v>1028</v>
      </c>
      <c r="J7" s="37" t="str">
        <f t="shared" si="2"/>
        <v>-inf</v>
      </c>
      <c r="K7" s="37" t="s">
        <v>195</v>
      </c>
      <c r="L7" s="37">
        <v>0</v>
      </c>
      <c r="M7" s="37">
        <v>0</v>
      </c>
      <c r="N7" s="37">
        <v>1</v>
      </c>
      <c r="O7" s="37">
        <v>1</v>
      </c>
      <c r="P7" s="37">
        <v>0</v>
      </c>
      <c r="Q7" s="37">
        <v>0.01</v>
      </c>
      <c r="AE7" t="str">
        <f t="shared" si="3"/>
        <v>1;1</v>
      </c>
    </row>
    <row r="8" spans="1:38" x14ac:dyDescent="0.25">
      <c r="A8" t="str">
        <f>Master!A17</f>
        <v>R17</v>
      </c>
      <c r="B8" t="str">
        <f>Master!C17</f>
        <v xml:space="preserve">1 Glyceraldehyde3-phosphate + 1 H2O + 1 NADP = 1 3-Phosphoglycerate + 1 NADPH + 2 Proton </v>
      </c>
      <c r="C8" t="str">
        <f>Master!F17</f>
        <v>N</v>
      </c>
      <c r="D8">
        <f>Master!M17</f>
        <v>1</v>
      </c>
      <c r="F8" s="37" t="str">
        <f t="shared" si="0"/>
        <v>R17</v>
      </c>
      <c r="G8" s="37" t="str">
        <f t="shared" si="1"/>
        <v xml:space="preserve">1 Glyceraldehyde3-phosphate + 1 H2O + 1 NADP = 1 3-Phosphoglycerate + 1 NADPH + 2 Proton </v>
      </c>
      <c r="H8" s="37" t="s">
        <v>1027</v>
      </c>
      <c r="I8" s="37" t="s">
        <v>1028</v>
      </c>
      <c r="J8" s="37" t="str">
        <f t="shared" si="2"/>
        <v>0</v>
      </c>
      <c r="K8" s="37" t="s">
        <v>195</v>
      </c>
      <c r="L8" s="37">
        <v>0</v>
      </c>
      <c r="M8" s="37">
        <v>0</v>
      </c>
      <c r="N8" s="37">
        <v>1</v>
      </c>
      <c r="O8" s="37">
        <v>1</v>
      </c>
      <c r="P8" s="37">
        <v>0</v>
      </c>
      <c r="Q8" s="37">
        <v>0.01</v>
      </c>
    </row>
    <row r="9" spans="1:38" x14ac:dyDescent="0.25">
      <c r="A9" t="str">
        <f>Master!A19</f>
        <v>R19</v>
      </c>
      <c r="B9" t="str">
        <f>Master!C19</f>
        <v>1 1_3-Bisphospho-D-glycerate + 1 NADH + 1 Proton = 1 Glyceraldehyde3-phosphate + 1 NAD + 1 Phosphate</v>
      </c>
      <c r="C9" t="str">
        <f>Master!F19</f>
        <v>Y</v>
      </c>
      <c r="D9">
        <f>Master!M19</f>
        <v>1</v>
      </c>
      <c r="F9" s="37" t="str">
        <f t="shared" si="0"/>
        <v>R19</v>
      </c>
      <c r="G9" s="37" t="str">
        <f t="shared" si="1"/>
        <v>1 1_3-Bisphospho-D-glycerate + 1 NADH + 1 Proton = 1 Glyceraldehyde3-phosphate + 1 NAD + 1 Phosphate</v>
      </c>
      <c r="H9" s="37" t="s">
        <v>1027</v>
      </c>
      <c r="I9" s="37" t="s">
        <v>1028</v>
      </c>
      <c r="J9" s="37" t="str">
        <f t="shared" si="2"/>
        <v>-inf</v>
      </c>
      <c r="K9" s="37" t="s">
        <v>195</v>
      </c>
      <c r="L9" s="37">
        <v>0</v>
      </c>
      <c r="M9" s="37">
        <v>0</v>
      </c>
      <c r="N9" s="37">
        <v>1</v>
      </c>
      <c r="O9" s="37">
        <v>1</v>
      </c>
      <c r="P9" s="37">
        <v>0</v>
      </c>
      <c r="Q9" s="37">
        <v>0.01</v>
      </c>
      <c r="AE9" t="str">
        <f t="shared" si="3"/>
        <v>1;1</v>
      </c>
      <c r="AF9" t="str">
        <f t="shared" si="4"/>
        <v>1;1;1;1</v>
      </c>
      <c r="AG9" t="str">
        <f t="shared" ref="AG9:AG41" si="5">CONCATENATE(AF9,$E$1,AF13)</f>
        <v>1;1;1;1;1;1;1;1</v>
      </c>
    </row>
    <row r="10" spans="1:38" x14ac:dyDescent="0.25">
      <c r="A10" t="str">
        <f>Master!A21</f>
        <v>R21</v>
      </c>
      <c r="B10" t="str">
        <f>Master!C21</f>
        <v xml:space="preserve">1 3-Phosphoglycerate + 1 ATP = 1 1_3-Bisphospho-D-glycerate + 1 ADP </v>
      </c>
      <c r="C10" t="str">
        <f>Master!F21</f>
        <v>N</v>
      </c>
      <c r="D10">
        <f>Master!M21</f>
        <v>1</v>
      </c>
      <c r="F10" s="37" t="str">
        <f t="shared" si="0"/>
        <v>R21</v>
      </c>
      <c r="G10" s="37" t="str">
        <f t="shared" si="1"/>
        <v xml:space="preserve">1 3-Phosphoglycerate + 1 ATP = 1 1_3-Bisphospho-D-glycerate + 1 ADP </v>
      </c>
      <c r="H10" s="37" t="s">
        <v>1027</v>
      </c>
      <c r="I10" s="37" t="s">
        <v>1028</v>
      </c>
      <c r="J10" s="37" t="str">
        <f t="shared" si="2"/>
        <v>0</v>
      </c>
      <c r="K10" s="37" t="s">
        <v>195</v>
      </c>
      <c r="L10" s="37">
        <v>0</v>
      </c>
      <c r="M10" s="37">
        <v>0</v>
      </c>
      <c r="N10" s="37">
        <v>1</v>
      </c>
      <c r="O10" s="37">
        <v>1</v>
      </c>
      <c r="P10" s="37">
        <v>0</v>
      </c>
      <c r="Q10" s="37">
        <v>0.01</v>
      </c>
    </row>
    <row r="11" spans="1:38" x14ac:dyDescent="0.25">
      <c r="A11" t="str">
        <f>Master!A23</f>
        <v>R23</v>
      </c>
      <c r="B11" t="str">
        <f>Master!C23</f>
        <v>1 3-Phosphoglycerate = 1 2-Phospho-D-glycerate</v>
      </c>
      <c r="C11" t="str">
        <f>Master!F23</f>
        <v>Y</v>
      </c>
      <c r="D11">
        <f>Master!M23</f>
        <v>1</v>
      </c>
      <c r="F11" s="37" t="str">
        <f t="shared" si="0"/>
        <v>R23</v>
      </c>
      <c r="G11" s="37" t="str">
        <f t="shared" si="1"/>
        <v>1 3-Phosphoglycerate = 1 2-Phospho-D-glycerate</v>
      </c>
      <c r="H11" s="37" t="s">
        <v>1027</v>
      </c>
      <c r="I11" s="37" t="s">
        <v>1028</v>
      </c>
      <c r="J11" s="37" t="str">
        <f t="shared" si="2"/>
        <v>-inf</v>
      </c>
      <c r="K11" s="37" t="s">
        <v>195</v>
      </c>
      <c r="L11" s="37">
        <v>0</v>
      </c>
      <c r="M11" s="37">
        <v>0</v>
      </c>
      <c r="N11" s="37">
        <v>1</v>
      </c>
      <c r="O11" s="37">
        <v>1</v>
      </c>
      <c r="P11" s="37">
        <v>0</v>
      </c>
      <c r="Q11" s="37">
        <v>0.01</v>
      </c>
      <c r="AE11" t="str">
        <f t="shared" si="3"/>
        <v>1;1</v>
      </c>
    </row>
    <row r="12" spans="1:38" x14ac:dyDescent="0.25">
      <c r="A12" t="str">
        <f>Master!A25</f>
        <v>R25</v>
      </c>
      <c r="B12" t="str">
        <f>Master!C25</f>
        <v xml:space="preserve">1 2-Phospho-D-glycerate = 1 H2O + 1 Phosphoenolpyruvate </v>
      </c>
      <c r="C12" t="str">
        <f>Master!F25</f>
        <v>Y</v>
      </c>
      <c r="D12">
        <f>Master!M25</f>
        <v>1</v>
      </c>
      <c r="F12" s="37" t="str">
        <f t="shared" si="0"/>
        <v>R25</v>
      </c>
      <c r="G12" s="37" t="str">
        <f t="shared" si="1"/>
        <v xml:space="preserve">1 2-Phospho-D-glycerate = 1 H2O + 1 Phosphoenolpyruvate </v>
      </c>
      <c r="H12" s="37" t="s">
        <v>1027</v>
      </c>
      <c r="I12" s="37" t="s">
        <v>1028</v>
      </c>
      <c r="J12" s="37" t="str">
        <f t="shared" si="2"/>
        <v>-inf</v>
      </c>
      <c r="K12" s="37" t="s">
        <v>195</v>
      </c>
      <c r="L12" s="37">
        <v>0</v>
      </c>
      <c r="M12" s="37">
        <v>0</v>
      </c>
      <c r="N12" s="37">
        <v>1</v>
      </c>
      <c r="O12" s="37">
        <v>1</v>
      </c>
      <c r="P12" s="37">
        <v>0</v>
      </c>
      <c r="Q12" s="37">
        <v>0.01</v>
      </c>
    </row>
    <row r="13" spans="1:38" x14ac:dyDescent="0.25">
      <c r="A13" t="str">
        <f>Master!A27</f>
        <v>R27</v>
      </c>
      <c r="B13" t="str">
        <f>Master!C27</f>
        <v xml:space="preserve">1 ADP + 1 Phosphoenolpyruvate + 1 Proton = 1 ATP + 1 Pyruvate </v>
      </c>
      <c r="C13" t="str">
        <f>Master!F27</f>
        <v>N</v>
      </c>
      <c r="D13">
        <f>Master!M27</f>
        <v>1</v>
      </c>
      <c r="F13" s="37" t="str">
        <f t="shared" si="0"/>
        <v>R27</v>
      </c>
      <c r="G13" s="37" t="str">
        <f t="shared" si="1"/>
        <v xml:space="preserve">1 ADP + 1 Phosphoenolpyruvate + 1 Proton = 1 ATP + 1 Pyruvate </v>
      </c>
      <c r="H13" s="37" t="s">
        <v>1027</v>
      </c>
      <c r="I13" s="37" t="s">
        <v>1028</v>
      </c>
      <c r="J13" s="37" t="str">
        <f t="shared" si="2"/>
        <v>0</v>
      </c>
      <c r="K13" s="37" t="s">
        <v>195</v>
      </c>
      <c r="L13" s="37">
        <v>0</v>
      </c>
      <c r="M13" s="37">
        <v>0</v>
      </c>
      <c r="N13" s="37">
        <v>1</v>
      </c>
      <c r="O13" s="37">
        <v>1</v>
      </c>
      <c r="P13" s="37">
        <v>0</v>
      </c>
      <c r="Q13" s="37">
        <v>0.01</v>
      </c>
      <c r="AE13" t="str">
        <f t="shared" si="3"/>
        <v>1;1</v>
      </c>
      <c r="AF13" t="str">
        <f t="shared" si="4"/>
        <v>1;1;1;1</v>
      </c>
    </row>
    <row r="14" spans="1:38" x14ac:dyDescent="0.25">
      <c r="A14" t="str">
        <f>Master!A29</f>
        <v>R29</v>
      </c>
      <c r="B14" t="str">
        <f>Master!C29</f>
        <v xml:space="preserve">1 ATP + 1 Phosphate + 1 Pyruvate = 1 AMP + 1 Phosphoenolpyruvate + 1 PPi + 1 Proton </v>
      </c>
      <c r="C14" t="str">
        <f>Master!F29</f>
        <v>N</v>
      </c>
      <c r="D14">
        <f>Master!M29</f>
        <v>1</v>
      </c>
      <c r="F14" s="37" t="str">
        <f t="shared" si="0"/>
        <v>R29</v>
      </c>
      <c r="G14" s="37" t="str">
        <f t="shared" si="1"/>
        <v xml:space="preserve">1 ATP + 1 Phosphate + 1 Pyruvate = 1 AMP + 1 Phosphoenolpyruvate + 1 PPi + 1 Proton </v>
      </c>
      <c r="H14" s="37" t="s">
        <v>1027</v>
      </c>
      <c r="I14" s="37" t="s">
        <v>1028</v>
      </c>
      <c r="J14" s="37" t="str">
        <f t="shared" si="2"/>
        <v>0</v>
      </c>
      <c r="K14" s="37" t="s">
        <v>195</v>
      </c>
      <c r="L14" s="37">
        <v>0</v>
      </c>
      <c r="M14" s="37">
        <v>0</v>
      </c>
      <c r="N14" s="37">
        <v>1</v>
      </c>
      <c r="O14" s="37">
        <v>1</v>
      </c>
      <c r="P14" s="37">
        <v>0</v>
      </c>
      <c r="Q14" s="37">
        <v>0.01</v>
      </c>
    </row>
    <row r="15" spans="1:38" x14ac:dyDescent="0.25">
      <c r="A15" t="str">
        <f>Master!A32</f>
        <v>R32</v>
      </c>
      <c r="B15" t="str">
        <f>Master!C32</f>
        <v xml:space="preserve">1 CO2 + 1 H2O + 1 Phosphoenolpyruvate = 1 Oxaloacetate + 1 Phosphate + 1 Proton </v>
      </c>
      <c r="C15" t="str">
        <f>Master!F32</f>
        <v>N</v>
      </c>
      <c r="D15">
        <f>Master!M32</f>
        <v>1</v>
      </c>
      <c r="F15" s="37" t="str">
        <f t="shared" si="0"/>
        <v>R32</v>
      </c>
      <c r="G15" s="37" t="str">
        <f t="shared" si="1"/>
        <v xml:space="preserve">1 CO2 + 1 H2O + 1 Phosphoenolpyruvate = 1 Oxaloacetate + 1 Phosphate + 1 Proton </v>
      </c>
      <c r="H15" s="37" t="s">
        <v>1027</v>
      </c>
      <c r="I15" s="37" t="s">
        <v>1028</v>
      </c>
      <c r="J15" s="37" t="str">
        <f t="shared" si="2"/>
        <v>0</v>
      </c>
      <c r="K15" s="37" t="s">
        <v>195</v>
      </c>
      <c r="L15" s="37">
        <v>0</v>
      </c>
      <c r="M15" s="37">
        <v>0</v>
      </c>
      <c r="N15" s="37">
        <v>1</v>
      </c>
      <c r="O15" s="37">
        <v>1</v>
      </c>
      <c r="P15" s="37">
        <v>0</v>
      </c>
      <c r="Q15" s="37">
        <v>0.01</v>
      </c>
      <c r="AE15" t="str">
        <f t="shared" si="3"/>
        <v>1;1</v>
      </c>
    </row>
    <row r="16" spans="1:38" x14ac:dyDescent="0.25">
      <c r="A16" t="str">
        <f>Master!A34</f>
        <v>R34</v>
      </c>
      <c r="B16" t="str">
        <f>Master!C34</f>
        <v xml:space="preserve">1 L-Malate + 1 NADP = 1 CO2 + 1 NADPH + 1 Pyruvate </v>
      </c>
      <c r="C16" t="str">
        <f>Master!F34</f>
        <v>Y</v>
      </c>
      <c r="D16">
        <f>Master!M34</f>
        <v>1</v>
      </c>
      <c r="F16" s="37" t="str">
        <f t="shared" si="0"/>
        <v>R34</v>
      </c>
      <c r="G16" s="37" t="str">
        <f t="shared" si="1"/>
        <v xml:space="preserve">1 L-Malate + 1 NADP = 1 CO2 + 1 NADPH + 1 Pyruvate </v>
      </c>
      <c r="H16" s="37" t="s">
        <v>1027</v>
      </c>
      <c r="I16" s="37" t="s">
        <v>1028</v>
      </c>
      <c r="J16" s="37" t="str">
        <f t="shared" si="2"/>
        <v>-inf</v>
      </c>
      <c r="K16" s="37" t="s">
        <v>195</v>
      </c>
      <c r="L16" s="37">
        <v>0</v>
      </c>
      <c r="M16" s="37">
        <v>0</v>
      </c>
      <c r="N16" s="37">
        <v>1</v>
      </c>
      <c r="O16" s="37">
        <v>1</v>
      </c>
      <c r="P16" s="37">
        <v>0</v>
      </c>
      <c r="Q16" s="37">
        <v>0.01</v>
      </c>
    </row>
    <row r="17" spans="1:34" x14ac:dyDescent="0.25">
      <c r="A17" t="str">
        <f>Master!A37</f>
        <v>R37</v>
      </c>
      <c r="B17" t="str">
        <f>Master!C37</f>
        <v xml:space="preserve">1 Proton + 1 Pyruvate + 1 TPP = 1 2-Hydroxyethyl-ThPP + 1 CO2 </v>
      </c>
      <c r="C17" t="str">
        <f>Master!F37</f>
        <v>N</v>
      </c>
      <c r="D17">
        <f>Master!M37</f>
        <v>1</v>
      </c>
      <c r="F17" s="37" t="str">
        <f t="shared" si="0"/>
        <v>R37</v>
      </c>
      <c r="G17" s="37" t="str">
        <f t="shared" si="1"/>
        <v xml:space="preserve">1 Proton + 1 Pyruvate + 1 TPP = 1 2-Hydroxyethyl-ThPP + 1 CO2 </v>
      </c>
      <c r="H17" s="37" t="s">
        <v>1027</v>
      </c>
      <c r="I17" s="37" t="s">
        <v>1028</v>
      </c>
      <c r="J17" s="37" t="str">
        <f t="shared" si="2"/>
        <v>0</v>
      </c>
      <c r="K17" s="37" t="s">
        <v>195</v>
      </c>
      <c r="L17" s="37">
        <v>0</v>
      </c>
      <c r="M17" s="37">
        <v>0</v>
      </c>
      <c r="N17" s="37">
        <v>1</v>
      </c>
      <c r="O17" s="37">
        <v>1</v>
      </c>
      <c r="P17" s="37">
        <v>0</v>
      </c>
      <c r="Q17" s="37">
        <v>0.01</v>
      </c>
      <c r="AE17" t="str">
        <f>CONCATENATE(D17,$E$1,D18)</f>
        <v>1;1</v>
      </c>
      <c r="AF17" t="str">
        <f>CONCATENATE(AE17,$E$1,AE19)</f>
        <v>1;1;1;1</v>
      </c>
      <c r="AG17" t="str">
        <f>CONCATENATE(AF17,$E$1,AF21)</f>
        <v>1;1;1;1;1;1;1;1</v>
      </c>
      <c r="AH17" t="str">
        <f>CONCATENATE(AG17,$E$1,AG25)</f>
        <v>1;1;1;1;1;1;1;1;1;1;1;1;1;1;1;1</v>
      </c>
    </row>
    <row r="18" spans="1:34" x14ac:dyDescent="0.25">
      <c r="A18" t="str">
        <f>Master!A38</f>
        <v>R38</v>
      </c>
      <c r="B18" t="str">
        <f>Master!C38</f>
        <v xml:space="preserve">1 2-Hydroxyethyl-ThPP + 1 Lipoamide = 1 S-Acetyldihydrolipoamide + 1 TPP </v>
      </c>
      <c r="C18" t="str">
        <f>Master!F38</f>
        <v>Y</v>
      </c>
      <c r="D18">
        <f>Master!M38</f>
        <v>1</v>
      </c>
      <c r="F18" s="37" t="str">
        <f t="shared" si="0"/>
        <v>R38</v>
      </c>
      <c r="G18" s="37" t="str">
        <f t="shared" si="1"/>
        <v xml:space="preserve">1 2-Hydroxyethyl-ThPP + 1 Lipoamide = 1 S-Acetyldihydrolipoamide + 1 TPP </v>
      </c>
      <c r="H18" s="37" t="s">
        <v>1027</v>
      </c>
      <c r="I18" s="37" t="s">
        <v>1028</v>
      </c>
      <c r="J18" s="37" t="str">
        <f t="shared" si="2"/>
        <v>-inf</v>
      </c>
      <c r="K18" s="37" t="s">
        <v>195</v>
      </c>
      <c r="L18" s="37">
        <v>0</v>
      </c>
      <c r="M18" s="37">
        <v>0</v>
      </c>
      <c r="N18" s="37">
        <v>1</v>
      </c>
      <c r="O18" s="37">
        <v>1</v>
      </c>
      <c r="P18" s="37">
        <v>0</v>
      </c>
      <c r="Q18" s="37">
        <v>0.01</v>
      </c>
    </row>
    <row r="19" spans="1:34" x14ac:dyDescent="0.25">
      <c r="A19" t="str">
        <f>Master!A41</f>
        <v>R41</v>
      </c>
      <c r="B19" t="str">
        <f>Master!C41</f>
        <v xml:space="preserve">1 CoA + 1 S-Acetyldihydrolipoamide = 1 Acetyl-CoA + 1 Dihydrolipoamide </v>
      </c>
      <c r="C19" t="str">
        <f>Master!F41</f>
        <v>Y</v>
      </c>
      <c r="D19">
        <f>Master!M41</f>
        <v>1</v>
      </c>
      <c r="F19" s="37" t="str">
        <f t="shared" si="0"/>
        <v>R41</v>
      </c>
      <c r="G19" s="37" t="str">
        <f t="shared" si="1"/>
        <v xml:space="preserve">1 CoA + 1 S-Acetyldihydrolipoamide = 1 Acetyl-CoA + 1 Dihydrolipoamide </v>
      </c>
      <c r="H19" s="37" t="s">
        <v>1027</v>
      </c>
      <c r="I19" s="37" t="s">
        <v>1028</v>
      </c>
      <c r="J19" s="37" t="str">
        <f t="shared" si="2"/>
        <v>-inf</v>
      </c>
      <c r="K19" s="37" t="s">
        <v>195</v>
      </c>
      <c r="L19" s="37">
        <v>0</v>
      </c>
      <c r="M19" s="37">
        <v>0</v>
      </c>
      <c r="N19" s="37">
        <v>1</v>
      </c>
      <c r="O19" s="37">
        <v>1</v>
      </c>
      <c r="P19" s="37">
        <v>0</v>
      </c>
      <c r="Q19" s="37">
        <v>0.01</v>
      </c>
      <c r="AE19" t="str">
        <f t="shared" ref="AE19" si="6">CONCATENATE(D19,$E$1,D20)</f>
        <v>1;1</v>
      </c>
    </row>
    <row r="20" spans="1:34" x14ac:dyDescent="0.25">
      <c r="A20" t="str">
        <f>Master!A44</f>
        <v>R44</v>
      </c>
      <c r="B20" t="str">
        <f>Master!C44</f>
        <v xml:space="preserve">1 Dihydrolipoamide + 1 NAD = 1 Lipoamide + 1 NADH + 1 Proton </v>
      </c>
      <c r="C20" t="str">
        <f>Master!F44</f>
        <v>Y</v>
      </c>
      <c r="D20">
        <f>Master!M44</f>
        <v>1</v>
      </c>
      <c r="F20" s="37" t="str">
        <f t="shared" si="0"/>
        <v>R44</v>
      </c>
      <c r="G20" s="37" t="str">
        <f t="shared" si="1"/>
        <v xml:space="preserve">1 Dihydrolipoamide + 1 NAD = 1 Lipoamide + 1 NADH + 1 Proton </v>
      </c>
      <c r="H20" s="37" t="s">
        <v>1027</v>
      </c>
      <c r="I20" s="37" t="s">
        <v>1028</v>
      </c>
      <c r="J20" s="37" t="str">
        <f t="shared" si="2"/>
        <v>-inf</v>
      </c>
      <c r="K20" s="37" t="s">
        <v>195</v>
      </c>
      <c r="L20" s="37">
        <v>0</v>
      </c>
      <c r="M20" s="37">
        <v>0</v>
      </c>
      <c r="N20" s="37">
        <v>1</v>
      </c>
      <c r="O20" s="37">
        <v>1</v>
      </c>
      <c r="P20" s="37">
        <v>0</v>
      </c>
      <c r="Q20" s="37">
        <v>0.01</v>
      </c>
    </row>
    <row r="21" spans="1:34" x14ac:dyDescent="0.25">
      <c r="A21" t="str">
        <f>Master!A46</f>
        <v>R46</v>
      </c>
      <c r="B21" t="str">
        <f>Master!C46</f>
        <v xml:space="preserve">1 Citrate + 1 CoA + 1 Proton = 1 Acetyl-CoA + 1 H2O + 1 Oxaloacetate </v>
      </c>
      <c r="C21" t="str">
        <f>Master!F46</f>
        <v>Y</v>
      </c>
      <c r="D21">
        <f>Master!M46</f>
        <v>1</v>
      </c>
      <c r="F21" s="37" t="str">
        <f t="shared" si="0"/>
        <v>R46</v>
      </c>
      <c r="G21" s="37" t="str">
        <f t="shared" si="1"/>
        <v xml:space="preserve">1 Citrate + 1 CoA + 1 Proton = 1 Acetyl-CoA + 1 H2O + 1 Oxaloacetate </v>
      </c>
      <c r="H21" s="37" t="s">
        <v>1027</v>
      </c>
      <c r="I21" s="37" t="s">
        <v>1028</v>
      </c>
      <c r="J21" s="37" t="str">
        <f t="shared" si="2"/>
        <v>-inf</v>
      </c>
      <c r="K21" s="37" t="s">
        <v>195</v>
      </c>
      <c r="L21" s="37">
        <v>0</v>
      </c>
      <c r="M21" s="37">
        <v>0</v>
      </c>
      <c r="N21" s="37">
        <v>1</v>
      </c>
      <c r="O21" s="37">
        <v>1</v>
      </c>
      <c r="P21" s="37">
        <v>0</v>
      </c>
      <c r="Q21" s="37">
        <v>0.01</v>
      </c>
      <c r="AE21" t="str">
        <f t="shared" ref="AE21" si="7">CONCATENATE(D21,$E$1,D22)</f>
        <v>1;1</v>
      </c>
      <c r="AF21" t="str">
        <f t="shared" si="4"/>
        <v>1;1;1;1</v>
      </c>
    </row>
    <row r="22" spans="1:34" x14ac:dyDescent="0.25">
      <c r="A22" t="str">
        <f>Master!A49</f>
        <v>R49</v>
      </c>
      <c r="B22" t="str">
        <f>Master!C49</f>
        <v>1 Citrate = 1 Isocitrate</v>
      </c>
      <c r="C22" t="str">
        <f>Master!F49</f>
        <v>Y</v>
      </c>
      <c r="D22">
        <f>Master!M49</f>
        <v>1</v>
      </c>
      <c r="F22" s="37" t="str">
        <f t="shared" si="0"/>
        <v>R49</v>
      </c>
      <c r="G22" s="37" t="str">
        <f t="shared" si="1"/>
        <v>1 Citrate = 1 Isocitrate</v>
      </c>
      <c r="H22" s="37" t="s">
        <v>1027</v>
      </c>
      <c r="I22" s="37" t="s">
        <v>1028</v>
      </c>
      <c r="J22" s="37" t="str">
        <f t="shared" si="2"/>
        <v>-inf</v>
      </c>
      <c r="K22" s="37" t="s">
        <v>195</v>
      </c>
      <c r="L22" s="37">
        <v>0</v>
      </c>
      <c r="M22" s="37">
        <v>0</v>
      </c>
      <c r="N22" s="37">
        <v>1</v>
      </c>
      <c r="O22" s="37">
        <v>1</v>
      </c>
      <c r="P22" s="37">
        <v>0</v>
      </c>
      <c r="Q22" s="37">
        <v>0.01</v>
      </c>
    </row>
    <row r="23" spans="1:34" x14ac:dyDescent="0.25">
      <c r="A23" t="str">
        <f>Master!A51</f>
        <v>R51</v>
      </c>
      <c r="B23" t="str">
        <f>Master!C51</f>
        <v xml:space="preserve">1 Isocitrate + 1 NAD = 1 2-Oxoglutarate + 1 CO2 + 1 NADH </v>
      </c>
      <c r="C23" t="str">
        <f>Master!F51</f>
        <v>N</v>
      </c>
      <c r="D23">
        <f>Master!M51</f>
        <v>1</v>
      </c>
      <c r="F23" s="37" t="str">
        <f t="shared" si="0"/>
        <v>R51</v>
      </c>
      <c r="G23" s="37" t="str">
        <f t="shared" si="1"/>
        <v xml:space="preserve">1 Isocitrate + 1 NAD = 1 2-Oxoglutarate + 1 CO2 + 1 NADH </v>
      </c>
      <c r="H23" s="37" t="s">
        <v>1027</v>
      </c>
      <c r="I23" s="37" t="s">
        <v>1028</v>
      </c>
      <c r="J23" s="37" t="str">
        <f t="shared" si="2"/>
        <v>0</v>
      </c>
      <c r="K23" s="37" t="s">
        <v>195</v>
      </c>
      <c r="L23" s="37">
        <v>0</v>
      </c>
      <c r="M23" s="37">
        <v>0</v>
      </c>
      <c r="N23" s="37">
        <v>1</v>
      </c>
      <c r="O23" s="37">
        <v>1</v>
      </c>
      <c r="P23" s="37">
        <v>0</v>
      </c>
      <c r="Q23" s="37">
        <v>0.01</v>
      </c>
      <c r="AE23" t="str">
        <f t="shared" ref="AE23" si="8">CONCATENATE(D23,$E$1,D24)</f>
        <v>1;1</v>
      </c>
    </row>
    <row r="24" spans="1:34" x14ac:dyDescent="0.25">
      <c r="A24" t="str">
        <f>Master!A53</f>
        <v>R53</v>
      </c>
      <c r="B24" t="str">
        <f>Master!C53</f>
        <v xml:space="preserve">1 2-Oxoglutarate + 1 CoA + 1 NAD = 1 CO2 + 1 NADH + 1 Succinyl-CoA </v>
      </c>
      <c r="C24" t="str">
        <f>Master!F53</f>
        <v>Y</v>
      </c>
      <c r="D24">
        <f>Master!M53</f>
        <v>1</v>
      </c>
      <c r="F24" s="37" t="str">
        <f t="shared" si="0"/>
        <v>R53</v>
      </c>
      <c r="G24" s="37" t="str">
        <f t="shared" si="1"/>
        <v xml:space="preserve">1 2-Oxoglutarate + 1 CoA + 1 NAD = 1 CO2 + 1 NADH + 1 Succinyl-CoA </v>
      </c>
      <c r="H24" s="37" t="s">
        <v>1027</v>
      </c>
      <c r="I24" s="37" t="s">
        <v>1028</v>
      </c>
      <c r="J24" s="37" t="str">
        <f t="shared" si="2"/>
        <v>-inf</v>
      </c>
      <c r="K24" s="37" t="s">
        <v>195</v>
      </c>
      <c r="L24" s="37">
        <v>0</v>
      </c>
      <c r="M24" s="37">
        <v>0</v>
      </c>
      <c r="N24" s="37">
        <v>1</v>
      </c>
      <c r="O24" s="37">
        <v>1</v>
      </c>
      <c r="P24" s="37">
        <v>0</v>
      </c>
      <c r="Q24" s="37">
        <v>0.01</v>
      </c>
    </row>
    <row r="25" spans="1:34" x14ac:dyDescent="0.25">
      <c r="A25" t="str">
        <f>Master!A58</f>
        <v>R58</v>
      </c>
      <c r="B25" t="str">
        <f>Master!C58</f>
        <v xml:space="preserve">1 ADP + 1 Phosphate + 1 Succinyl-CoA = 1 ATP + 1 CoA + 1 Succinate </v>
      </c>
      <c r="C25" t="str">
        <f>Master!F58</f>
        <v>Y</v>
      </c>
      <c r="D25">
        <f>Master!M58</f>
        <v>1</v>
      </c>
      <c r="F25" s="37" t="str">
        <f t="shared" si="0"/>
        <v>R58</v>
      </c>
      <c r="G25" s="37" t="str">
        <f t="shared" si="1"/>
        <v xml:space="preserve">1 ADP + 1 Phosphate + 1 Succinyl-CoA = 1 ATP + 1 CoA + 1 Succinate </v>
      </c>
      <c r="H25" s="37" t="s">
        <v>1027</v>
      </c>
      <c r="I25" s="37" t="s">
        <v>1028</v>
      </c>
      <c r="J25" s="37" t="str">
        <f t="shared" si="2"/>
        <v>-inf</v>
      </c>
      <c r="K25" s="37" t="s">
        <v>195</v>
      </c>
      <c r="L25" s="37">
        <v>0</v>
      </c>
      <c r="M25" s="37">
        <v>0</v>
      </c>
      <c r="N25" s="37">
        <v>1</v>
      </c>
      <c r="O25" s="37">
        <v>1</v>
      </c>
      <c r="P25" s="37">
        <v>0</v>
      </c>
      <c r="Q25" s="37">
        <v>0.01</v>
      </c>
      <c r="AE25" t="str">
        <f t="shared" ref="AE25" si="9">CONCATENATE(D25,$E$1,D26)</f>
        <v>1;1</v>
      </c>
      <c r="AF25" t="str">
        <f t="shared" si="4"/>
        <v>1;1;1;1</v>
      </c>
      <c r="AG25" t="str">
        <f t="shared" si="5"/>
        <v>1;1;1;1;1;1;1;1</v>
      </c>
    </row>
    <row r="26" spans="1:34" x14ac:dyDescent="0.25">
      <c r="A26" t="str">
        <f>Master!A61</f>
        <v>R61</v>
      </c>
      <c r="B26" t="str">
        <f>Master!C61</f>
        <v xml:space="preserve">1 Q + 1 Succinate = 1 QH2 + 1 Fumarate </v>
      </c>
      <c r="C26" t="str">
        <f>Master!F61</f>
        <v>Y</v>
      </c>
      <c r="D26">
        <f>Master!M61</f>
        <v>1</v>
      </c>
      <c r="F26" s="37" t="str">
        <f t="shared" si="0"/>
        <v>R61</v>
      </c>
      <c r="G26" s="37" t="str">
        <f t="shared" si="1"/>
        <v xml:space="preserve">1 Q + 1 Succinate = 1 QH2 + 1 Fumarate </v>
      </c>
      <c r="H26" s="37" t="s">
        <v>1027</v>
      </c>
      <c r="I26" s="37" t="s">
        <v>1028</v>
      </c>
      <c r="J26" s="37" t="str">
        <f t="shared" si="2"/>
        <v>-inf</v>
      </c>
      <c r="K26" s="37" t="s">
        <v>195</v>
      </c>
      <c r="L26" s="37">
        <v>0</v>
      </c>
      <c r="M26" s="37">
        <v>0</v>
      </c>
      <c r="N26" s="37">
        <v>1</v>
      </c>
      <c r="O26" s="37">
        <v>1</v>
      </c>
      <c r="P26" s="37">
        <v>0</v>
      </c>
      <c r="Q26" s="37">
        <v>0.01</v>
      </c>
    </row>
    <row r="27" spans="1:34" x14ac:dyDescent="0.25">
      <c r="A27" t="str">
        <f>Master!A64</f>
        <v>R64</v>
      </c>
      <c r="B27" t="str">
        <f>Master!C64</f>
        <v>1 Fumarate + 1 H2O  = 1 L-Malate</v>
      </c>
      <c r="C27" t="str">
        <f>Master!F64</f>
        <v>Y</v>
      </c>
      <c r="D27">
        <f>Master!M64</f>
        <v>1</v>
      </c>
      <c r="F27" s="37" t="str">
        <f t="shared" si="0"/>
        <v>R64</v>
      </c>
      <c r="G27" s="37" t="str">
        <f t="shared" si="1"/>
        <v>1 Fumarate + 1 H2O  = 1 L-Malate</v>
      </c>
      <c r="H27" s="37" t="s">
        <v>1027</v>
      </c>
      <c r="I27" s="37" t="s">
        <v>1028</v>
      </c>
      <c r="J27" s="37" t="str">
        <f t="shared" si="2"/>
        <v>-inf</v>
      </c>
      <c r="K27" s="37" t="s">
        <v>195</v>
      </c>
      <c r="L27" s="37">
        <v>0</v>
      </c>
      <c r="M27" s="37">
        <v>0</v>
      </c>
      <c r="N27" s="37">
        <v>1</v>
      </c>
      <c r="O27" s="37">
        <v>1</v>
      </c>
      <c r="P27" s="37">
        <v>0</v>
      </c>
      <c r="Q27" s="37">
        <v>0.01</v>
      </c>
      <c r="AE27" t="str">
        <f t="shared" ref="AE27" si="10">CONCATENATE(D27,$E$1,D28)</f>
        <v>1;1</v>
      </c>
    </row>
    <row r="28" spans="1:34" x14ac:dyDescent="0.25">
      <c r="A28" t="str">
        <f>Master!A66</f>
        <v>R66</v>
      </c>
      <c r="B28" t="str">
        <f>Master!C66</f>
        <v xml:space="preserve">1 L-Malate + 1 NAD = 1 NADH + 1 Oxaloacetate + 1 Proton </v>
      </c>
      <c r="C28" t="str">
        <f>Master!F66</f>
        <v>Y</v>
      </c>
      <c r="D28">
        <f>Master!M66</f>
        <v>1</v>
      </c>
      <c r="F28" s="37" t="str">
        <f t="shared" si="0"/>
        <v>R66</v>
      </c>
      <c r="G28" s="37" t="str">
        <f t="shared" si="1"/>
        <v xml:space="preserve">1 L-Malate + 1 NAD = 1 NADH + 1 Oxaloacetate + 1 Proton </v>
      </c>
      <c r="H28" s="37" t="s">
        <v>1027</v>
      </c>
      <c r="I28" s="37" t="s">
        <v>1028</v>
      </c>
      <c r="J28" s="37" t="str">
        <f t="shared" si="2"/>
        <v>-inf</v>
      </c>
      <c r="K28" s="37" t="s">
        <v>195</v>
      </c>
      <c r="L28" s="37">
        <v>0</v>
      </c>
      <c r="M28" s="37">
        <v>0</v>
      </c>
      <c r="N28" s="37">
        <v>1</v>
      </c>
      <c r="O28" s="37">
        <v>1</v>
      </c>
      <c r="P28" s="37">
        <v>0</v>
      </c>
      <c r="Q28" s="37">
        <v>0.01</v>
      </c>
    </row>
    <row r="29" spans="1:34" x14ac:dyDescent="0.25">
      <c r="A29" t="str">
        <f>Master!A68</f>
        <v>R68</v>
      </c>
      <c r="B29" t="str">
        <f>Master!C68</f>
        <v xml:space="preserve">1 Acetyl-CoA + 1 Succinate = 1 Acetate + 1 Succinyl-CoA </v>
      </c>
      <c r="C29" t="str">
        <f>Master!F68</f>
        <v>Y</v>
      </c>
      <c r="D29">
        <f>Master!M68</f>
        <v>1</v>
      </c>
      <c r="F29" s="37" t="str">
        <f t="shared" si="0"/>
        <v>R68</v>
      </c>
      <c r="G29" s="37" t="str">
        <f t="shared" si="1"/>
        <v xml:space="preserve">1 Acetyl-CoA + 1 Succinate = 1 Acetate + 1 Succinyl-CoA </v>
      </c>
      <c r="H29" s="37" t="s">
        <v>1027</v>
      </c>
      <c r="I29" s="37" t="s">
        <v>1028</v>
      </c>
      <c r="J29" s="37" t="str">
        <f t="shared" si="2"/>
        <v>-inf</v>
      </c>
      <c r="K29" s="37" t="s">
        <v>195</v>
      </c>
      <c r="L29" s="37">
        <v>0</v>
      </c>
      <c r="M29" s="37">
        <v>0</v>
      </c>
      <c r="N29" s="37">
        <v>1</v>
      </c>
      <c r="O29" s="37">
        <v>1</v>
      </c>
      <c r="P29" s="37">
        <v>0</v>
      </c>
      <c r="Q29" s="37">
        <v>0.01</v>
      </c>
      <c r="AE29" t="str">
        <f t="shared" ref="AE29" si="11">CONCATENATE(D29,$E$1,D30)</f>
        <v>1;1</v>
      </c>
      <c r="AF29" t="str">
        <f t="shared" si="4"/>
        <v>1;1;1;1</v>
      </c>
    </row>
    <row r="30" spans="1:34" x14ac:dyDescent="0.25">
      <c r="A30" t="str">
        <f>Master!A70</f>
        <v>R70</v>
      </c>
      <c r="B30" t="str">
        <f>Master!C70</f>
        <v>Lactate + 2 ferricyt_c = Pyruvate + 2 ferrocyt_c + 2 Proton</v>
      </c>
      <c r="C30" t="str">
        <f>Master!F70</f>
        <v>N</v>
      </c>
      <c r="D30">
        <f>Master!M70</f>
        <v>1</v>
      </c>
      <c r="F30" s="37" t="str">
        <f t="shared" si="0"/>
        <v>R70</v>
      </c>
      <c r="G30" s="37" t="str">
        <f t="shared" si="1"/>
        <v>Lactate + 2 ferricyt_c = Pyruvate + 2 ferrocyt_c + 2 Proton</v>
      </c>
      <c r="H30" s="37" t="s">
        <v>1027</v>
      </c>
      <c r="I30" s="37" t="s">
        <v>1028</v>
      </c>
      <c r="J30" s="37" t="str">
        <f t="shared" si="2"/>
        <v>0</v>
      </c>
      <c r="K30" s="37" t="s">
        <v>195</v>
      </c>
      <c r="L30" s="37">
        <v>0</v>
      </c>
      <c r="M30" s="37">
        <v>0</v>
      </c>
      <c r="N30" s="37">
        <v>1</v>
      </c>
      <c r="O30" s="37">
        <v>1</v>
      </c>
      <c r="P30" s="37">
        <v>0</v>
      </c>
      <c r="Q30" s="37">
        <v>0.01</v>
      </c>
    </row>
    <row r="31" spans="1:34" x14ac:dyDescent="0.25">
      <c r="A31" t="str">
        <f>Master!A72</f>
        <v>R72</v>
      </c>
      <c r="B31" t="str">
        <f>Master!C72</f>
        <v xml:space="preserve">1 Isocitrate = 1 glyoxylate + 1 Succinate </v>
      </c>
      <c r="C31" t="str">
        <f>Master!F72</f>
        <v>Y</v>
      </c>
      <c r="D31">
        <f>Master!M72</f>
        <v>1</v>
      </c>
      <c r="F31" s="37" t="str">
        <f t="shared" si="0"/>
        <v>R72</v>
      </c>
      <c r="G31" s="37" t="str">
        <f t="shared" si="1"/>
        <v xml:space="preserve">1 Isocitrate = 1 glyoxylate + 1 Succinate </v>
      </c>
      <c r="H31" s="37" t="s">
        <v>1027</v>
      </c>
      <c r="I31" s="37" t="s">
        <v>1028</v>
      </c>
      <c r="J31" s="37" t="str">
        <f t="shared" si="2"/>
        <v>-inf</v>
      </c>
      <c r="K31" s="37" t="s">
        <v>195</v>
      </c>
      <c r="L31" s="37">
        <v>0</v>
      </c>
      <c r="M31" s="37">
        <v>0</v>
      </c>
      <c r="N31" s="37">
        <v>1</v>
      </c>
      <c r="O31" s="37">
        <v>1</v>
      </c>
      <c r="P31" s="37">
        <v>0</v>
      </c>
      <c r="Q31" s="37">
        <v>0.01</v>
      </c>
      <c r="AE31" t="str">
        <f t="shared" ref="AE31" si="12">CONCATENATE(D31,$E$1,D32)</f>
        <v>1;1</v>
      </c>
    </row>
    <row r="32" spans="1:34" x14ac:dyDescent="0.25">
      <c r="A32" t="str">
        <f>Master!A74</f>
        <v>R74</v>
      </c>
      <c r="B32" t="str">
        <f>Master!C74</f>
        <v xml:space="preserve">1 Acetyl-CoA + 1 glyoxylate + 1 H2O = 1 CoA + 1 L-Malate + 1 Proton </v>
      </c>
      <c r="C32" t="str">
        <f>Master!F74</f>
        <v>N</v>
      </c>
      <c r="D32">
        <f>Master!M74</f>
        <v>1</v>
      </c>
      <c r="F32" s="37" t="str">
        <f t="shared" si="0"/>
        <v>R74</v>
      </c>
      <c r="G32" s="37" t="str">
        <f t="shared" si="1"/>
        <v xml:space="preserve">1 Acetyl-CoA + 1 glyoxylate + 1 H2O = 1 CoA + 1 L-Malate + 1 Proton </v>
      </c>
      <c r="H32" s="37" t="s">
        <v>1027</v>
      </c>
      <c r="I32" s="37" t="s">
        <v>1028</v>
      </c>
      <c r="J32" s="37" t="str">
        <f t="shared" si="2"/>
        <v>0</v>
      </c>
      <c r="K32" s="37" t="s">
        <v>195</v>
      </c>
      <c r="L32" s="37">
        <v>0</v>
      </c>
      <c r="M32" s="37">
        <v>0</v>
      </c>
      <c r="N32" s="37">
        <v>1</v>
      </c>
      <c r="O32" s="37">
        <v>1</v>
      </c>
      <c r="P32" s="37">
        <v>0</v>
      </c>
      <c r="Q32" s="37">
        <v>0.01</v>
      </c>
    </row>
    <row r="33" spans="1:35" x14ac:dyDescent="0.25">
      <c r="A33" t="str">
        <f>Master!A77</f>
        <v>R77</v>
      </c>
      <c r="B33" t="str">
        <f>Master!C77</f>
        <v xml:space="preserve">1 D-glucose + 1 NADP = 1 D-glucono-1_5-lactone + 1 NADPH + 1 Proton </v>
      </c>
      <c r="C33" t="str">
        <f>Master!F77</f>
        <v>Y</v>
      </c>
      <c r="D33">
        <f>Master!M77</f>
        <v>1</v>
      </c>
      <c r="F33" s="37" t="str">
        <f t="shared" si="0"/>
        <v>R77</v>
      </c>
      <c r="G33" s="37" t="str">
        <f t="shared" si="1"/>
        <v xml:space="preserve">1 D-glucose + 1 NADP = 1 D-glucono-1_5-lactone + 1 NADPH + 1 Proton </v>
      </c>
      <c r="H33" s="37" t="s">
        <v>1027</v>
      </c>
      <c r="I33" s="37" t="s">
        <v>1028</v>
      </c>
      <c r="J33" s="37" t="str">
        <f t="shared" si="2"/>
        <v>-inf</v>
      </c>
      <c r="K33" s="37" t="s">
        <v>195</v>
      </c>
      <c r="L33" s="37">
        <v>0</v>
      </c>
      <c r="M33" s="37">
        <v>0</v>
      </c>
      <c r="N33" s="37">
        <v>1</v>
      </c>
      <c r="O33" s="37">
        <v>1</v>
      </c>
      <c r="P33" s="37">
        <v>0</v>
      </c>
      <c r="Q33" s="37">
        <v>0.01</v>
      </c>
      <c r="AE33" t="str">
        <f>CONCATENATE(D33,$E$1,D34)</f>
        <v>1;1</v>
      </c>
      <c r="AF33" t="str">
        <f>CONCATENATE(AE33,$E$1,AE35)</f>
        <v>1;1;1;1</v>
      </c>
      <c r="AG33" t="str">
        <f>CONCATENATE(AF33,$E$1,AF37)</f>
        <v>1;1;1;1;1;1;1;1</v>
      </c>
      <c r="AH33" t="str">
        <f>CONCATENATE(AG33,$E$1,AG41)</f>
        <v>1;1;1;1;1;1;1;1;1;1;1;1;1;1;1;1</v>
      </c>
      <c r="AI33" t="str">
        <f>CONCATENATE(AH33,$E$1,AH49)</f>
        <v>1;1;1;1;1;1;1;1;1;1;1;1;1;1;1;1;1;1;1;1;0;1;1;1;1;1;1;1;1;1;1;1</v>
      </c>
    </row>
    <row r="34" spans="1:35" x14ac:dyDescent="0.25">
      <c r="A34" t="str">
        <f>Master!A79</f>
        <v>R79</v>
      </c>
      <c r="B34" t="str">
        <f>Master!C79</f>
        <v xml:space="preserve">1 D-glucono-1_5-lactone + 1 H2O = 1 GLCN + 1 Proton </v>
      </c>
      <c r="C34" t="str">
        <f>Master!F79</f>
        <v>Y</v>
      </c>
      <c r="D34">
        <f>Master!M79</f>
        <v>1</v>
      </c>
      <c r="F34" s="37" t="str">
        <f t="shared" si="0"/>
        <v>R79</v>
      </c>
      <c r="G34" s="37" t="str">
        <f t="shared" si="1"/>
        <v xml:space="preserve">1 D-glucono-1_5-lactone + 1 H2O = 1 GLCN + 1 Proton </v>
      </c>
      <c r="H34" s="37" t="s">
        <v>1027</v>
      </c>
      <c r="I34" s="37" t="s">
        <v>1028</v>
      </c>
      <c r="J34" s="37" t="str">
        <f t="shared" si="2"/>
        <v>-inf</v>
      </c>
      <c r="K34" s="37" t="s">
        <v>195</v>
      </c>
      <c r="L34" s="37">
        <v>0</v>
      </c>
      <c r="M34" s="37">
        <v>0</v>
      </c>
      <c r="N34" s="37">
        <v>1</v>
      </c>
      <c r="O34" s="37">
        <v>1</v>
      </c>
      <c r="P34" s="37">
        <v>0</v>
      </c>
      <c r="Q34" s="37">
        <v>0.01</v>
      </c>
    </row>
    <row r="35" spans="1:35" x14ac:dyDescent="0.25">
      <c r="A35" t="str">
        <f>Master!A81</f>
        <v>R81</v>
      </c>
      <c r="B35" t="str">
        <f>Master!C81</f>
        <v xml:space="preserve">1 GLCN = 1 2-keto-3-deoxygluconate + 1 H2O </v>
      </c>
      <c r="C35" t="str">
        <f>Master!F81</f>
        <v>Y</v>
      </c>
      <c r="D35">
        <f>Master!M81</f>
        <v>1</v>
      </c>
      <c r="F35" s="37" t="str">
        <f t="shared" si="0"/>
        <v>R81</v>
      </c>
      <c r="G35" s="37" t="str">
        <f t="shared" si="1"/>
        <v xml:space="preserve">1 GLCN = 1 2-keto-3-deoxygluconate + 1 H2O </v>
      </c>
      <c r="H35" s="37" t="s">
        <v>1027</v>
      </c>
      <c r="I35" s="37" t="s">
        <v>1028</v>
      </c>
      <c r="J35" s="37" t="str">
        <f t="shared" si="2"/>
        <v>-inf</v>
      </c>
      <c r="K35" s="37" t="s">
        <v>195</v>
      </c>
      <c r="L35" s="37">
        <v>0</v>
      </c>
      <c r="M35" s="37">
        <v>0</v>
      </c>
      <c r="N35" s="37">
        <v>1</v>
      </c>
      <c r="O35" s="37">
        <v>1</v>
      </c>
      <c r="P35" s="37">
        <v>0</v>
      </c>
      <c r="Q35" s="37">
        <v>0.01</v>
      </c>
      <c r="AE35" t="str">
        <f t="shared" ref="AE35" si="13">CONCATENATE(D35,$E$1,D36)</f>
        <v>1;1</v>
      </c>
    </row>
    <row r="36" spans="1:35" x14ac:dyDescent="0.25">
      <c r="A36" t="str">
        <f>Master!A83</f>
        <v>R83</v>
      </c>
      <c r="B36" t="str">
        <f>Master!C83</f>
        <v xml:space="preserve">1 2-keto-3-deoxygluconate + 1 ATP = 1 2-Keto-3-deoxy-6-phosphogluconate + 1 ADP + 1 Proton </v>
      </c>
      <c r="C36" t="str">
        <f>Master!F83</f>
        <v>N</v>
      </c>
      <c r="D36">
        <f>Master!M83</f>
        <v>1</v>
      </c>
      <c r="F36" s="37" t="str">
        <f t="shared" si="0"/>
        <v>R83</v>
      </c>
      <c r="G36" s="37" t="str">
        <f t="shared" si="1"/>
        <v xml:space="preserve">1 2-keto-3-deoxygluconate + 1 ATP = 1 2-Keto-3-deoxy-6-phosphogluconate + 1 ADP + 1 Proton </v>
      </c>
      <c r="H36" s="37" t="s">
        <v>1027</v>
      </c>
      <c r="I36" s="37" t="s">
        <v>1028</v>
      </c>
      <c r="J36" s="37" t="str">
        <f t="shared" si="2"/>
        <v>0</v>
      </c>
      <c r="K36" s="37" t="s">
        <v>195</v>
      </c>
      <c r="L36" s="37">
        <v>0</v>
      </c>
      <c r="M36" s="37">
        <v>0</v>
      </c>
      <c r="N36" s="37">
        <v>1</v>
      </c>
      <c r="O36" s="37">
        <v>1</v>
      </c>
      <c r="P36" s="37">
        <v>0</v>
      </c>
      <c r="Q36" s="37">
        <v>0.01</v>
      </c>
    </row>
    <row r="37" spans="1:35" x14ac:dyDescent="0.25">
      <c r="A37" t="str">
        <f>Master!A85</f>
        <v>R85</v>
      </c>
      <c r="B37" t="str">
        <f>Master!C85</f>
        <v xml:space="preserve">1 2-Keto-3-deoxy-6-phosphogluconate = 1 Glyceraldehyde3-phosphate + 1 Pyruvate </v>
      </c>
      <c r="C37" t="str">
        <f>Master!F85</f>
        <v>Y</v>
      </c>
      <c r="D37">
        <f>Master!M85</f>
        <v>1</v>
      </c>
      <c r="F37" s="37" t="str">
        <f t="shared" si="0"/>
        <v>R85</v>
      </c>
      <c r="G37" s="37" t="str">
        <f t="shared" si="1"/>
        <v xml:space="preserve">1 2-Keto-3-deoxy-6-phosphogluconate = 1 Glyceraldehyde3-phosphate + 1 Pyruvate </v>
      </c>
      <c r="H37" s="37" t="s">
        <v>1027</v>
      </c>
      <c r="I37" s="37" t="s">
        <v>1028</v>
      </c>
      <c r="J37" s="37" t="str">
        <f t="shared" si="2"/>
        <v>-inf</v>
      </c>
      <c r="K37" s="37" t="s">
        <v>195</v>
      </c>
      <c r="L37" s="37">
        <v>0</v>
      </c>
      <c r="M37" s="37">
        <v>0</v>
      </c>
      <c r="N37" s="37">
        <v>1</v>
      </c>
      <c r="O37" s="37">
        <v>1</v>
      </c>
      <c r="P37" s="37">
        <v>0</v>
      </c>
      <c r="Q37" s="37">
        <v>0.01</v>
      </c>
      <c r="AE37" t="str">
        <f t="shared" ref="AE37" si="14">CONCATENATE(D37,$E$1,D38)</f>
        <v>1;1</v>
      </c>
      <c r="AF37" t="str">
        <f t="shared" si="4"/>
        <v>1;1;1;1</v>
      </c>
    </row>
    <row r="38" spans="1:35" x14ac:dyDescent="0.25">
      <c r="A38" t="str">
        <f>Master!A87</f>
        <v>R87</v>
      </c>
      <c r="B38" t="str">
        <f>Master!C87</f>
        <v xml:space="preserve">1 6-Phospho-D-gluconate = 1 2-Keto-3-deoxy-6-phosphogluconate + 1 H2O </v>
      </c>
      <c r="C38" t="str">
        <f>Master!F87</f>
        <v>Y</v>
      </c>
      <c r="D38">
        <f>Master!M87</f>
        <v>1</v>
      </c>
      <c r="F38" s="37" t="str">
        <f t="shared" si="0"/>
        <v>R87</v>
      </c>
      <c r="G38" s="37" t="str">
        <f t="shared" si="1"/>
        <v xml:space="preserve">1 6-Phospho-D-gluconate = 1 2-Keto-3-deoxy-6-phosphogluconate + 1 H2O </v>
      </c>
      <c r="H38" s="37" t="s">
        <v>1027</v>
      </c>
      <c r="I38" s="37" t="s">
        <v>1028</v>
      </c>
      <c r="J38" s="37" t="str">
        <f t="shared" si="2"/>
        <v>-inf</v>
      </c>
      <c r="K38" s="37" t="s">
        <v>195</v>
      </c>
      <c r="L38" s="37">
        <v>0</v>
      </c>
      <c r="M38" s="37">
        <v>0</v>
      </c>
      <c r="N38" s="37">
        <v>1</v>
      </c>
      <c r="O38" s="37">
        <v>1</v>
      </c>
      <c r="P38" s="37">
        <v>0</v>
      </c>
      <c r="Q38" s="37">
        <v>0.01</v>
      </c>
    </row>
    <row r="39" spans="1:35" x14ac:dyDescent="0.25">
      <c r="A39" t="str">
        <f>Master!A89</f>
        <v>R89</v>
      </c>
      <c r="B39" t="str">
        <f>Master!C89</f>
        <v xml:space="preserve">1 6-Phospho-D-gluconate + 1 NADP = 1 CO2 + 1 D-Ribulose5-phosphate + 1 NADPH </v>
      </c>
      <c r="C39" t="str">
        <f>Master!F89</f>
        <v>N</v>
      </c>
      <c r="D39">
        <f>Master!M89</f>
        <v>1</v>
      </c>
      <c r="F39" s="37" t="str">
        <f t="shared" si="0"/>
        <v>R89</v>
      </c>
      <c r="G39" s="37" t="str">
        <f t="shared" si="1"/>
        <v xml:space="preserve">1 6-Phospho-D-gluconate + 1 NADP = 1 CO2 + 1 D-Ribulose5-phosphate + 1 NADPH </v>
      </c>
      <c r="H39" s="37" t="s">
        <v>1027</v>
      </c>
      <c r="I39" s="37" t="s">
        <v>1028</v>
      </c>
      <c r="J39" s="37" t="str">
        <f t="shared" si="2"/>
        <v>0</v>
      </c>
      <c r="K39" s="37" t="s">
        <v>195</v>
      </c>
      <c r="L39" s="37">
        <v>0</v>
      </c>
      <c r="M39" s="37">
        <v>0</v>
      </c>
      <c r="N39" s="37">
        <v>1</v>
      </c>
      <c r="O39" s="37">
        <v>1</v>
      </c>
      <c r="P39" s="37">
        <v>0</v>
      </c>
      <c r="Q39" s="37">
        <v>0.01</v>
      </c>
      <c r="AE39" t="str">
        <f t="shared" ref="AE39" si="15">CONCATENATE(D39,$E$1,D40)</f>
        <v>1;1</v>
      </c>
    </row>
    <row r="40" spans="1:35" x14ac:dyDescent="0.25">
      <c r="A40" t="str">
        <f>Master!A91</f>
        <v>R91</v>
      </c>
      <c r="B40" t="str">
        <f>Master!C91</f>
        <v xml:space="preserve">1 ribose-5-phosphate = 1 D-Ribulose5-phosphate </v>
      </c>
      <c r="C40" t="str">
        <f>Master!F91</f>
        <v>Y</v>
      </c>
      <c r="D40">
        <f>Master!M91</f>
        <v>1</v>
      </c>
      <c r="F40" s="37" t="str">
        <f t="shared" si="0"/>
        <v>R91</v>
      </c>
      <c r="G40" s="37" t="str">
        <f t="shared" si="1"/>
        <v xml:space="preserve">1 ribose-5-phosphate = 1 D-Ribulose5-phosphate </v>
      </c>
      <c r="H40" s="37" t="s">
        <v>1027</v>
      </c>
      <c r="I40" s="37" t="s">
        <v>1028</v>
      </c>
      <c r="J40" s="37" t="str">
        <f t="shared" si="2"/>
        <v>-inf</v>
      </c>
      <c r="K40" s="37" t="s">
        <v>195</v>
      </c>
      <c r="L40" s="37">
        <v>0</v>
      </c>
      <c r="M40" s="37">
        <v>0</v>
      </c>
      <c r="N40" s="37">
        <v>1</v>
      </c>
      <c r="O40" s="37">
        <v>1</v>
      </c>
      <c r="P40" s="37">
        <v>0</v>
      </c>
      <c r="Q40" s="37">
        <v>0.01</v>
      </c>
    </row>
    <row r="41" spans="1:35" x14ac:dyDescent="0.25">
      <c r="A41" t="str">
        <f>Master!A94</f>
        <v>R94</v>
      </c>
      <c r="B41" t="str">
        <f>Master!C94</f>
        <v xml:space="preserve">1 ATP + 1 ribose-5-phosphate = 1 AMP + 1 Proton + 1 PRPP </v>
      </c>
      <c r="C41" t="str">
        <f>Master!F94</f>
        <v>N</v>
      </c>
      <c r="D41">
        <f>Master!M94</f>
        <v>1</v>
      </c>
      <c r="F41" s="37" t="str">
        <f t="shared" si="0"/>
        <v>R94</v>
      </c>
      <c r="G41" s="37" t="str">
        <f t="shared" si="1"/>
        <v xml:space="preserve">1 ATP + 1 ribose-5-phosphate = 1 AMP + 1 Proton + 1 PRPP </v>
      </c>
      <c r="H41" s="37" t="s">
        <v>1027</v>
      </c>
      <c r="I41" s="37" t="s">
        <v>1028</v>
      </c>
      <c r="J41" s="37" t="str">
        <f t="shared" si="2"/>
        <v>0</v>
      </c>
      <c r="K41" s="37" t="s">
        <v>195</v>
      </c>
      <c r="L41" s="37">
        <v>0</v>
      </c>
      <c r="M41" s="37">
        <v>0</v>
      </c>
      <c r="N41" s="37">
        <v>1</v>
      </c>
      <c r="O41" s="37">
        <v>1</v>
      </c>
      <c r="P41" s="37">
        <v>0</v>
      </c>
      <c r="Q41" s="37">
        <v>0.01</v>
      </c>
      <c r="AE41" t="str">
        <f t="shared" ref="AE41" si="16">CONCATENATE(D41,$E$1,D42)</f>
        <v>1;1</v>
      </c>
      <c r="AF41" t="str">
        <f t="shared" si="4"/>
        <v>1;1;1;1</v>
      </c>
      <c r="AG41" t="str">
        <f t="shared" si="5"/>
        <v>1;1;1;1;1;1;1;1</v>
      </c>
    </row>
    <row r="42" spans="1:35" x14ac:dyDescent="0.25">
      <c r="A42" t="str">
        <f>Master!A96</f>
        <v>R96</v>
      </c>
      <c r="B42" t="str">
        <f>Master!C96</f>
        <v xml:space="preserve">1 Glyceraldehyde3-phosphate + 1 Sedoheptulose7-phosphate = 1 D-Xylulose5-phosphate + 1 ribose-5-phosphate </v>
      </c>
      <c r="C42" t="str">
        <f>Master!F96</f>
        <v>Y</v>
      </c>
      <c r="D42">
        <f>Master!M96</f>
        <v>1</v>
      </c>
      <c r="F42" s="37" t="str">
        <f t="shared" si="0"/>
        <v>R96</v>
      </c>
      <c r="G42" s="37" t="str">
        <f t="shared" si="1"/>
        <v xml:space="preserve">1 Glyceraldehyde3-phosphate + 1 Sedoheptulose7-phosphate = 1 D-Xylulose5-phosphate + 1 ribose-5-phosphate </v>
      </c>
      <c r="H42" s="37" t="s">
        <v>1027</v>
      </c>
      <c r="I42" s="37" t="s">
        <v>1028</v>
      </c>
      <c r="J42" s="37" t="str">
        <f t="shared" si="2"/>
        <v>-inf</v>
      </c>
      <c r="K42" s="37" t="s">
        <v>195</v>
      </c>
      <c r="L42" s="37">
        <v>0</v>
      </c>
      <c r="M42" s="37">
        <v>0</v>
      </c>
      <c r="N42" s="37">
        <v>1</v>
      </c>
      <c r="O42" s="37">
        <v>1</v>
      </c>
      <c r="P42" s="37">
        <v>0</v>
      </c>
      <c r="Q42" s="37">
        <v>0.01</v>
      </c>
    </row>
    <row r="43" spans="1:35" x14ac:dyDescent="0.25">
      <c r="A43" t="str">
        <f>Master!A97</f>
        <v>R97</v>
      </c>
      <c r="B43" t="str">
        <f>Master!C97</f>
        <v xml:space="preserve">1 D-fructose-6-phosphate + 1 Glyceraldehyde3-phosphate = 1 D-Erythrose4-phosphate + 1 D-Xylulose5-phosphate </v>
      </c>
      <c r="C43" t="str">
        <f>Master!F97</f>
        <v>Y</v>
      </c>
      <c r="D43">
        <f>Master!M97</f>
        <v>1</v>
      </c>
      <c r="F43" s="37" t="str">
        <f t="shared" si="0"/>
        <v>R97</v>
      </c>
      <c r="G43" s="37" t="str">
        <f t="shared" si="1"/>
        <v xml:space="preserve">1 D-fructose-6-phosphate + 1 Glyceraldehyde3-phosphate = 1 D-Erythrose4-phosphate + 1 D-Xylulose5-phosphate </v>
      </c>
      <c r="H43" s="37" t="s">
        <v>1027</v>
      </c>
      <c r="I43" s="37" t="s">
        <v>1028</v>
      </c>
      <c r="J43" s="37" t="str">
        <f t="shared" si="2"/>
        <v>-inf</v>
      </c>
      <c r="K43" s="37" t="s">
        <v>195</v>
      </c>
      <c r="L43" s="37">
        <v>0</v>
      </c>
      <c r="M43" s="37">
        <v>0</v>
      </c>
      <c r="N43" s="37">
        <v>1</v>
      </c>
      <c r="O43" s="37">
        <v>1</v>
      </c>
      <c r="P43" s="37">
        <v>0</v>
      </c>
      <c r="Q43" s="37">
        <v>0.01</v>
      </c>
      <c r="AE43" t="str">
        <f t="shared" ref="AE43" si="17">CONCATENATE(D43,$E$1,D44)</f>
        <v>1;1</v>
      </c>
    </row>
    <row r="44" spans="1:35" x14ac:dyDescent="0.25">
      <c r="A44" t="str">
        <f>Master!A99</f>
        <v>R99</v>
      </c>
      <c r="B44" t="str">
        <f>Master!C99</f>
        <v xml:space="preserve">1 Phosphate + 1 Sedoheptulose7-phosphate = 1 H2O + 1 sedoheptulose-1_7-bisphosphate </v>
      </c>
      <c r="C44" t="str">
        <f>Master!F99</f>
        <v>Y</v>
      </c>
      <c r="D44">
        <f>Master!M99</f>
        <v>1</v>
      </c>
      <c r="F44" s="37" t="str">
        <f t="shared" si="0"/>
        <v>R99</v>
      </c>
      <c r="G44" s="37" t="str">
        <f t="shared" si="1"/>
        <v xml:space="preserve">1 Phosphate + 1 Sedoheptulose7-phosphate = 1 H2O + 1 sedoheptulose-1_7-bisphosphate </v>
      </c>
      <c r="H44" s="37" t="s">
        <v>1027</v>
      </c>
      <c r="I44" s="37" t="s">
        <v>1028</v>
      </c>
      <c r="J44" s="37" t="str">
        <f t="shared" si="2"/>
        <v>-inf</v>
      </c>
      <c r="K44" s="37" t="s">
        <v>195</v>
      </c>
      <c r="L44" s="37">
        <v>0</v>
      </c>
      <c r="M44" s="37">
        <v>0</v>
      </c>
      <c r="N44" s="37">
        <v>1</v>
      </c>
      <c r="O44" s="37">
        <v>1</v>
      </c>
      <c r="P44" s="37">
        <v>0</v>
      </c>
      <c r="Q44" s="37">
        <v>0.01</v>
      </c>
    </row>
    <row r="45" spans="1:35" x14ac:dyDescent="0.25">
      <c r="A45" t="str">
        <f>Master!A100</f>
        <v>R100</v>
      </c>
      <c r="B45" t="str">
        <f>Master!C100</f>
        <v xml:space="preserve">1 sedoheptulose-1_7-bisphosphate = 1 D-Erythrose4-phosphate + 1 DHAP </v>
      </c>
      <c r="C45" t="str">
        <f>Master!F100</f>
        <v>Y</v>
      </c>
      <c r="D45">
        <f>Master!M100</f>
        <v>1</v>
      </c>
      <c r="F45" s="37" t="str">
        <f t="shared" si="0"/>
        <v>R100</v>
      </c>
      <c r="G45" s="37" t="str">
        <f t="shared" si="1"/>
        <v xml:space="preserve">1 sedoheptulose-1_7-bisphosphate = 1 D-Erythrose4-phosphate + 1 DHAP </v>
      </c>
      <c r="H45" s="37" t="s">
        <v>1027</v>
      </c>
      <c r="I45" s="37" t="s">
        <v>1028</v>
      </c>
      <c r="J45" s="37" t="str">
        <f t="shared" si="2"/>
        <v>-inf</v>
      </c>
      <c r="K45" s="37" t="s">
        <v>195</v>
      </c>
      <c r="L45" s="37">
        <v>0</v>
      </c>
      <c r="M45" s="37">
        <v>0</v>
      </c>
      <c r="N45" s="37">
        <v>1</v>
      </c>
      <c r="O45" s="37">
        <v>1</v>
      </c>
      <c r="P45" s="37">
        <v>0</v>
      </c>
      <c r="Q45" s="37">
        <v>0.01</v>
      </c>
      <c r="AE45" t="str">
        <f t="shared" ref="AE45" si="18">CONCATENATE(D45,$E$1,D46)</f>
        <v>1;1</v>
      </c>
      <c r="AF45" t="str">
        <f t="shared" si="4"/>
        <v>1;1;1;1</v>
      </c>
    </row>
    <row r="46" spans="1:35" x14ac:dyDescent="0.25">
      <c r="A46" t="str">
        <f>Master!A102</f>
        <v>R102</v>
      </c>
      <c r="B46" t="str">
        <f>Master!C102</f>
        <v xml:space="preserve">1 D-fructose-6-phosphate = 1 3-hexulose-6-phosphate </v>
      </c>
      <c r="C46" t="str">
        <f>Master!F102</f>
        <v>Y</v>
      </c>
      <c r="D46">
        <f>Master!M102</f>
        <v>1</v>
      </c>
      <c r="F46" s="37" t="str">
        <f t="shared" si="0"/>
        <v>R102</v>
      </c>
      <c r="G46" s="37" t="str">
        <f t="shared" si="1"/>
        <v xml:space="preserve">1 D-fructose-6-phosphate = 1 3-hexulose-6-phosphate </v>
      </c>
      <c r="H46" s="37" t="s">
        <v>1027</v>
      </c>
      <c r="I46" s="37" t="s">
        <v>1028</v>
      </c>
      <c r="J46" s="37" t="str">
        <f t="shared" si="2"/>
        <v>-inf</v>
      </c>
      <c r="K46" s="37" t="s">
        <v>195</v>
      </c>
      <c r="L46" s="37">
        <v>0</v>
      </c>
      <c r="M46" s="37">
        <v>0</v>
      </c>
      <c r="N46" s="37">
        <v>1</v>
      </c>
      <c r="O46" s="37">
        <v>1</v>
      </c>
      <c r="P46" s="37">
        <v>0</v>
      </c>
      <c r="Q46" s="37">
        <v>0.01</v>
      </c>
    </row>
    <row r="47" spans="1:35" x14ac:dyDescent="0.25">
      <c r="A47" t="str">
        <f>Master!A104</f>
        <v>R104</v>
      </c>
      <c r="B47" t="str">
        <f>Master!C104</f>
        <v xml:space="preserve">1 3-hexulose-6-phosphate = 1 D-Ribulose5-phosphate + 1 formaldehyde </v>
      </c>
      <c r="C47" t="str">
        <f>Master!F104</f>
        <v>Y</v>
      </c>
      <c r="D47">
        <f>Master!M104</f>
        <v>1</v>
      </c>
      <c r="F47" s="37" t="str">
        <f t="shared" si="0"/>
        <v>R104</v>
      </c>
      <c r="G47" s="37" t="str">
        <f t="shared" si="1"/>
        <v xml:space="preserve">1 3-hexulose-6-phosphate = 1 D-Ribulose5-phosphate + 1 formaldehyde </v>
      </c>
      <c r="H47" s="37" t="s">
        <v>1027</v>
      </c>
      <c r="I47" s="37" t="s">
        <v>1028</v>
      </c>
      <c r="J47" s="37" t="str">
        <f t="shared" si="2"/>
        <v>-inf</v>
      </c>
      <c r="K47" s="37" t="s">
        <v>195</v>
      </c>
      <c r="L47" s="37">
        <v>0</v>
      </c>
      <c r="M47" s="37">
        <v>0</v>
      </c>
      <c r="N47" s="37">
        <v>1</v>
      </c>
      <c r="O47" s="37">
        <v>1</v>
      </c>
      <c r="P47" s="37">
        <v>0</v>
      </c>
      <c r="Q47" s="37">
        <v>0.01</v>
      </c>
      <c r="AE47" t="str">
        <f t="shared" ref="AE47" si="19">CONCATENATE(D47,$E$1,D48)</f>
        <v>1;1</v>
      </c>
    </row>
    <row r="48" spans="1:35" x14ac:dyDescent="0.25">
      <c r="A48" t="str">
        <f>Master!A107</f>
        <v>R107</v>
      </c>
      <c r="B48" t="str">
        <f>Master!C107</f>
        <v xml:space="preserve">1 L-Glutamate + 1 Oxaloacetate = 1 2-Oxoglutarate + 1 L-Aspartate </v>
      </c>
      <c r="C48" t="str">
        <f>Master!F107</f>
        <v>Y</v>
      </c>
      <c r="D48">
        <f>Master!M107</f>
        <v>1</v>
      </c>
      <c r="F48" s="37" t="str">
        <f t="shared" si="0"/>
        <v>R107</v>
      </c>
      <c r="G48" s="37" t="str">
        <f t="shared" si="1"/>
        <v xml:space="preserve">1 L-Glutamate + 1 Oxaloacetate = 1 2-Oxoglutarate + 1 L-Aspartate </v>
      </c>
      <c r="H48" s="37" t="s">
        <v>1027</v>
      </c>
      <c r="I48" s="37" t="s">
        <v>1028</v>
      </c>
      <c r="J48" s="37" t="str">
        <f t="shared" si="2"/>
        <v>-inf</v>
      </c>
      <c r="K48" s="37" t="s">
        <v>195</v>
      </c>
      <c r="L48" s="37">
        <v>0</v>
      </c>
      <c r="M48" s="37">
        <v>0</v>
      </c>
      <c r="N48" s="37">
        <v>1</v>
      </c>
      <c r="O48" s="37">
        <v>1</v>
      </c>
      <c r="P48" s="37">
        <v>0</v>
      </c>
      <c r="Q48" s="37">
        <v>0.01</v>
      </c>
    </row>
    <row r="49" spans="1:34" x14ac:dyDescent="0.25">
      <c r="A49" t="str">
        <f>Master!A110</f>
        <v>R110</v>
      </c>
      <c r="B49" t="str">
        <f>Master!C110</f>
        <v xml:space="preserve">1 GTP + 1 IMP + 1 L-Aspartate = 1 Adenylosuccinate + 1 GDP + 1 Phosphate + 2 Proton </v>
      </c>
      <c r="C49" t="str">
        <f>Master!F110</f>
        <v>N</v>
      </c>
      <c r="D49">
        <f>Master!M110</f>
        <v>1</v>
      </c>
      <c r="F49" s="37" t="str">
        <f t="shared" si="0"/>
        <v>R110</v>
      </c>
      <c r="G49" s="37" t="str">
        <f t="shared" si="1"/>
        <v xml:space="preserve">1 GTP + 1 IMP + 1 L-Aspartate = 1 Adenylosuccinate + 1 GDP + 1 Phosphate + 2 Proton </v>
      </c>
      <c r="H49" s="37" t="s">
        <v>1027</v>
      </c>
      <c r="I49" s="37" t="s">
        <v>1028</v>
      </c>
      <c r="J49" s="37" t="str">
        <f t="shared" si="2"/>
        <v>0</v>
      </c>
      <c r="K49" s="37" t="s">
        <v>195</v>
      </c>
      <c r="L49" s="37">
        <v>0</v>
      </c>
      <c r="M49" s="37">
        <v>0</v>
      </c>
      <c r="N49" s="37">
        <v>1</v>
      </c>
      <c r="O49" s="37">
        <v>1</v>
      </c>
      <c r="P49" s="37">
        <v>0</v>
      </c>
      <c r="Q49" s="37">
        <v>0.01</v>
      </c>
      <c r="AE49" t="str">
        <f>CONCATENATE(D49,$E$1,D50)</f>
        <v>1;1</v>
      </c>
      <c r="AF49" t="str">
        <f>CONCATENATE(AE49,$E$1,AE51)</f>
        <v>1;1;1;1</v>
      </c>
      <c r="AG49" t="str">
        <f>CONCATENATE(AF49,$E$1,AF53)</f>
        <v>1;1;1;1;0;1;1;1</v>
      </c>
      <c r="AH49" t="str">
        <f>CONCATENATE(AG49,$E$1,AG57)</f>
        <v>1;1;1;1;0;1;1;1;1;1;1;1;1;1;1;1</v>
      </c>
    </row>
    <row r="50" spans="1:34" x14ac:dyDescent="0.25">
      <c r="A50" t="str">
        <f>Master!A112</f>
        <v>R112</v>
      </c>
      <c r="B50" t="str">
        <f>Master!C112</f>
        <v xml:space="preserve">1 Adenylosuccinate = 1 AMP + 1 Fumarate </v>
      </c>
      <c r="C50" t="str">
        <f>Master!F112</f>
        <v>N</v>
      </c>
      <c r="D50">
        <f>Master!M112</f>
        <v>1</v>
      </c>
      <c r="F50" s="37" t="str">
        <f t="shared" si="0"/>
        <v>R112</v>
      </c>
      <c r="G50" s="37" t="str">
        <f t="shared" si="1"/>
        <v xml:space="preserve">1 Adenylosuccinate = 1 AMP + 1 Fumarate </v>
      </c>
      <c r="H50" s="37" t="s">
        <v>1027</v>
      </c>
      <c r="I50" s="37" t="s">
        <v>1028</v>
      </c>
      <c r="J50" s="37" t="str">
        <f t="shared" si="2"/>
        <v>0</v>
      </c>
      <c r="K50" s="37" t="s">
        <v>195</v>
      </c>
      <c r="L50" s="37">
        <v>0</v>
      </c>
      <c r="M50" s="37">
        <v>0</v>
      </c>
      <c r="N50" s="37">
        <v>1</v>
      </c>
      <c r="O50" s="37">
        <v>1</v>
      </c>
      <c r="P50" s="37">
        <v>0</v>
      </c>
      <c r="Q50" s="37">
        <v>0.01</v>
      </c>
    </row>
    <row r="51" spans="1:34" x14ac:dyDescent="0.25">
      <c r="A51" t="str">
        <f>Master!A114</f>
        <v>R114</v>
      </c>
      <c r="B51" t="str">
        <f>Master!C114</f>
        <v xml:space="preserve">1 L-Glutamate + 1 Pyruvate = 1 2-Oxoglutarate + 1 L-Alanine </v>
      </c>
      <c r="C51" t="str">
        <f>Master!F114</f>
        <v>Y</v>
      </c>
      <c r="D51">
        <f>Master!M114</f>
        <v>1</v>
      </c>
      <c r="F51" s="37" t="str">
        <f t="shared" si="0"/>
        <v>R114</v>
      </c>
      <c r="G51" s="37" t="str">
        <f t="shared" si="1"/>
        <v xml:space="preserve">1 L-Glutamate + 1 Pyruvate = 1 2-Oxoglutarate + 1 L-Alanine </v>
      </c>
      <c r="H51" s="37" t="s">
        <v>1027</v>
      </c>
      <c r="I51" s="37" t="s">
        <v>1028</v>
      </c>
      <c r="J51" s="37" t="str">
        <f t="shared" si="2"/>
        <v>-inf</v>
      </c>
      <c r="K51" s="37" t="s">
        <v>195</v>
      </c>
      <c r="L51" s="37">
        <v>0</v>
      </c>
      <c r="M51" s="37">
        <v>0</v>
      </c>
      <c r="N51" s="37">
        <v>1</v>
      </c>
      <c r="O51" s="37">
        <v>1</v>
      </c>
      <c r="P51" s="37">
        <v>0</v>
      </c>
      <c r="Q51" s="37">
        <v>0.01</v>
      </c>
      <c r="AE51" t="str">
        <f t="shared" ref="AE51" si="20">CONCATENATE(D51,$E$1,D52)</f>
        <v>1;1</v>
      </c>
    </row>
    <row r="52" spans="1:34" x14ac:dyDescent="0.25">
      <c r="A52" t="str">
        <f>Master!A116</f>
        <v>R116</v>
      </c>
      <c r="B52" t="str">
        <f>Master!C116</f>
        <v xml:space="preserve">1 L-Glutamate + 1 NADH + 2 Proton = 1 H2O + 1 L-Glutamate5-semialdehyde + 1 NAD </v>
      </c>
      <c r="C52" t="str">
        <f>Master!F116</f>
        <v>Y</v>
      </c>
      <c r="D52">
        <f>Master!M116</f>
        <v>1</v>
      </c>
      <c r="F52" s="37" t="str">
        <f t="shared" si="0"/>
        <v>R116</v>
      </c>
      <c r="G52" s="37" t="str">
        <f t="shared" si="1"/>
        <v xml:space="preserve">1 L-Glutamate + 1 NADH + 2 Proton = 1 H2O + 1 L-Glutamate5-semialdehyde + 1 NAD </v>
      </c>
      <c r="H52" s="37" t="s">
        <v>1027</v>
      </c>
      <c r="I52" s="37" t="s">
        <v>1028</v>
      </c>
      <c r="J52" s="37" t="str">
        <f t="shared" si="2"/>
        <v>-inf</v>
      </c>
      <c r="K52" s="37" t="s">
        <v>195</v>
      </c>
      <c r="L52" s="37">
        <v>0</v>
      </c>
      <c r="M52" s="37">
        <v>0</v>
      </c>
      <c r="N52" s="37">
        <v>1</v>
      </c>
      <c r="O52" s="37">
        <v>1</v>
      </c>
      <c r="P52" s="37">
        <v>0</v>
      </c>
      <c r="Q52" s="37">
        <v>0.01</v>
      </c>
    </row>
    <row r="53" spans="1:34" x14ac:dyDescent="0.25">
      <c r="A53" t="str">
        <f>Master!A118</f>
        <v>R118</v>
      </c>
      <c r="B53" t="str">
        <f>Master!C118</f>
        <v xml:space="preserve">1 L-Glutamate5-semialdehyde = 1 1-Pyrroline-5-carboxylate + 1 H2O + 1 Proton </v>
      </c>
      <c r="C53" t="str">
        <f>Master!F118</f>
        <v>Y</v>
      </c>
      <c r="D53">
        <f>Master!M118</f>
        <v>0</v>
      </c>
      <c r="F53" s="37" t="str">
        <f t="shared" si="0"/>
        <v>R118</v>
      </c>
      <c r="G53" s="37" t="str">
        <f t="shared" si="1"/>
        <v xml:space="preserve">1 L-Glutamate5-semialdehyde = 1 1-Pyrroline-5-carboxylate + 1 H2O + 1 Proton </v>
      </c>
      <c r="H53" s="37" t="s">
        <v>1027</v>
      </c>
      <c r="I53" s="37" t="s">
        <v>1028</v>
      </c>
      <c r="J53" s="37" t="str">
        <f t="shared" si="2"/>
        <v>-inf</v>
      </c>
      <c r="K53" s="37" t="s">
        <v>195</v>
      </c>
      <c r="L53" s="37">
        <v>0</v>
      </c>
      <c r="M53" s="37">
        <v>0</v>
      </c>
      <c r="N53" s="37">
        <v>1</v>
      </c>
      <c r="O53" s="37">
        <v>1</v>
      </c>
      <c r="P53" s="37">
        <v>0</v>
      </c>
      <c r="Q53" s="37">
        <v>0.01</v>
      </c>
      <c r="AE53" t="str">
        <f t="shared" ref="AE53" si="21">CONCATENATE(D53,$E$1,D54)</f>
        <v>0;1</v>
      </c>
      <c r="AF53" t="str">
        <f t="shared" si="4"/>
        <v>0;1;1;1</v>
      </c>
    </row>
    <row r="54" spans="1:34" x14ac:dyDescent="0.25">
      <c r="A54" t="str">
        <f>Master!A120</f>
        <v>R120</v>
      </c>
      <c r="B54" t="str">
        <f>Master!C120</f>
        <v xml:space="preserve">1 1-Pyrroline-5-carboxylate + 1 NADPH + 2 Proton = 1 L-Proline + 1 NADP </v>
      </c>
      <c r="C54" t="str">
        <f>Master!F120</f>
        <v>Y</v>
      </c>
      <c r="D54">
        <f>Master!M120</f>
        <v>1</v>
      </c>
      <c r="F54" s="37" t="str">
        <f t="shared" si="0"/>
        <v>R120</v>
      </c>
      <c r="G54" s="37" t="str">
        <f t="shared" si="1"/>
        <v xml:space="preserve">1 1-Pyrroline-5-carboxylate + 1 NADPH + 2 Proton = 1 L-Proline + 1 NADP </v>
      </c>
      <c r="H54" s="37" t="s">
        <v>1027</v>
      </c>
      <c r="I54" s="37" t="s">
        <v>1028</v>
      </c>
      <c r="J54" s="37" t="str">
        <f t="shared" si="2"/>
        <v>-inf</v>
      </c>
      <c r="K54" s="37" t="s">
        <v>195</v>
      </c>
      <c r="L54" s="37">
        <v>0</v>
      </c>
      <c r="M54" s="37">
        <v>0</v>
      </c>
      <c r="N54" s="37">
        <v>1</v>
      </c>
      <c r="O54" s="37">
        <v>1</v>
      </c>
      <c r="P54" s="37">
        <v>0</v>
      </c>
      <c r="Q54" s="37">
        <v>0.01</v>
      </c>
    </row>
    <row r="55" spans="1:34" x14ac:dyDescent="0.25">
      <c r="A55" t="str">
        <f>Master!A122</f>
        <v>R122</v>
      </c>
      <c r="B55" t="str">
        <f>Master!C122</f>
        <v>L-Glutamate + Acetyl-CoA = N-Acetyl-L-glutamate + CoA + Proton</v>
      </c>
      <c r="C55" t="str">
        <f>Master!F122</f>
        <v>N</v>
      </c>
      <c r="D55">
        <f>Master!M122</f>
        <v>1</v>
      </c>
      <c r="F55" s="37" t="str">
        <f t="shared" si="0"/>
        <v>R122</v>
      </c>
      <c r="G55" s="37" t="str">
        <f t="shared" si="1"/>
        <v>L-Glutamate + Acetyl-CoA = N-Acetyl-L-glutamate + CoA + Proton</v>
      </c>
      <c r="H55" s="37" t="s">
        <v>1027</v>
      </c>
      <c r="I55" s="37" t="s">
        <v>1028</v>
      </c>
      <c r="J55" s="37" t="str">
        <f t="shared" si="2"/>
        <v>0</v>
      </c>
      <c r="K55" s="37" t="s">
        <v>195</v>
      </c>
      <c r="L55" s="37">
        <v>0</v>
      </c>
      <c r="M55" s="37">
        <v>0</v>
      </c>
      <c r="N55" s="37">
        <v>1</v>
      </c>
      <c r="O55" s="37">
        <v>1</v>
      </c>
      <c r="P55" s="37">
        <v>0</v>
      </c>
      <c r="Q55" s="37">
        <v>0.01</v>
      </c>
      <c r="AE55" t="str">
        <f t="shared" ref="AE55" si="22">CONCATENATE(D55,$E$1,D56)</f>
        <v>1;1</v>
      </c>
    </row>
    <row r="56" spans="1:34" x14ac:dyDescent="0.25">
      <c r="A56" t="str">
        <f>Master!A124</f>
        <v>R124</v>
      </c>
      <c r="B56" t="str">
        <f>Master!C124</f>
        <v>ATP + N-Acetyl-L-glutamate = ADP + N-Acetyl-L-glutamate5-phosphate</v>
      </c>
      <c r="C56" t="str">
        <f>Master!F124</f>
        <v>N</v>
      </c>
      <c r="D56">
        <f>Master!M124</f>
        <v>1</v>
      </c>
      <c r="F56" s="37" t="str">
        <f t="shared" si="0"/>
        <v>R124</v>
      </c>
      <c r="G56" s="37" t="str">
        <f t="shared" si="1"/>
        <v>ATP + N-Acetyl-L-glutamate = ADP + N-Acetyl-L-glutamate5-phosphate</v>
      </c>
      <c r="H56" s="37" t="s">
        <v>1027</v>
      </c>
      <c r="I56" s="37" t="s">
        <v>1028</v>
      </c>
      <c r="J56" s="37" t="str">
        <f t="shared" si="2"/>
        <v>0</v>
      </c>
      <c r="K56" s="37" t="s">
        <v>195</v>
      </c>
      <c r="L56" s="37">
        <v>0</v>
      </c>
      <c r="M56" s="37">
        <v>0</v>
      </c>
      <c r="N56" s="37">
        <v>1</v>
      </c>
      <c r="O56" s="37">
        <v>1</v>
      </c>
      <c r="P56" s="37">
        <v>0</v>
      </c>
      <c r="Q56" s="37">
        <v>0.01</v>
      </c>
    </row>
    <row r="57" spans="1:34" x14ac:dyDescent="0.25">
      <c r="A57" t="str">
        <f>Master!A126</f>
        <v>R126</v>
      </c>
      <c r="B57" t="str">
        <f>Master!C126</f>
        <v>N-Acetyl-L-glutamate5-semialdehyde + Phosphate + NADP = N-Acetyl-L-glutamate5-phosphate + NADPH + Proton</v>
      </c>
      <c r="C57" t="str">
        <f>Master!F126</f>
        <v>Y</v>
      </c>
      <c r="D57">
        <f>Master!M126</f>
        <v>1</v>
      </c>
      <c r="F57" s="37" t="str">
        <f t="shared" si="0"/>
        <v>R126</v>
      </c>
      <c r="G57" s="37" t="str">
        <f t="shared" si="1"/>
        <v>N-Acetyl-L-glutamate5-semialdehyde + Phosphate + NADP = N-Acetyl-L-glutamate5-phosphate + NADPH + Proton</v>
      </c>
      <c r="H57" s="37" t="s">
        <v>1027</v>
      </c>
      <c r="I57" s="37" t="s">
        <v>1028</v>
      </c>
      <c r="J57" s="37" t="str">
        <f t="shared" si="2"/>
        <v>-inf</v>
      </c>
      <c r="K57" s="37" t="s">
        <v>195</v>
      </c>
      <c r="L57" s="37">
        <v>0</v>
      </c>
      <c r="M57" s="37">
        <v>0</v>
      </c>
      <c r="N57" s="37">
        <v>1</v>
      </c>
      <c r="O57" s="37">
        <v>1</v>
      </c>
      <c r="P57" s="37">
        <v>0</v>
      </c>
      <c r="Q57" s="37">
        <v>0.01</v>
      </c>
      <c r="AE57" t="str">
        <f t="shared" ref="AE57" si="23">CONCATENATE(D57,$E$1,D58)</f>
        <v>1;1</v>
      </c>
      <c r="AF57" t="str">
        <f t="shared" si="4"/>
        <v>1;1;1;1</v>
      </c>
      <c r="AG57" t="str">
        <f t="shared" ref="AG57" si="24">CONCATENATE(AF57,$E$1,AF61)</f>
        <v>1;1;1;1;1;1;1;1</v>
      </c>
    </row>
    <row r="58" spans="1:34" x14ac:dyDescent="0.25">
      <c r="A58" t="str">
        <f>Master!A128</f>
        <v>R128</v>
      </c>
      <c r="B58" t="str">
        <f>Master!C128</f>
        <v>N-Acetylornithine + 2-Oxoglutarate = N-Acetyl-L-glutamate5-semialdehyde + L-Glutamate</v>
      </c>
      <c r="C58" t="str">
        <f>Master!F128</f>
        <v>Y</v>
      </c>
      <c r="D58">
        <f>Master!M128</f>
        <v>1</v>
      </c>
      <c r="F58" s="37" t="str">
        <f t="shared" si="0"/>
        <v>R128</v>
      </c>
      <c r="G58" s="37" t="str">
        <f t="shared" si="1"/>
        <v>N-Acetylornithine + 2-Oxoglutarate = N-Acetyl-L-glutamate5-semialdehyde + L-Glutamate</v>
      </c>
      <c r="H58" s="37" t="s">
        <v>1027</v>
      </c>
      <c r="I58" s="37" t="s">
        <v>1028</v>
      </c>
      <c r="J58" s="37" t="str">
        <f t="shared" si="2"/>
        <v>-inf</v>
      </c>
      <c r="K58" s="37" t="s">
        <v>195</v>
      </c>
      <c r="L58" s="37">
        <v>0</v>
      </c>
      <c r="M58" s="37">
        <v>0</v>
      </c>
      <c r="N58" s="37">
        <v>1</v>
      </c>
      <c r="O58" s="37">
        <v>1</v>
      </c>
      <c r="P58" s="37">
        <v>0</v>
      </c>
      <c r="Q58" s="37">
        <v>0.01</v>
      </c>
    </row>
    <row r="59" spans="1:34" x14ac:dyDescent="0.25">
      <c r="A59" t="str">
        <f>Master!A130</f>
        <v>R130</v>
      </c>
      <c r="B59" t="str">
        <f>Master!C130</f>
        <v>N-Acetylornithine + H2O = Acetate + Ornithine</v>
      </c>
      <c r="C59" t="str">
        <f>Master!F130</f>
        <v>N</v>
      </c>
      <c r="D59">
        <f>Master!M130</f>
        <v>1</v>
      </c>
      <c r="F59" s="37" t="str">
        <f t="shared" si="0"/>
        <v>R130</v>
      </c>
      <c r="G59" s="37" t="str">
        <f t="shared" si="1"/>
        <v>N-Acetylornithine + H2O = Acetate + Ornithine</v>
      </c>
      <c r="H59" s="37" t="s">
        <v>1027</v>
      </c>
      <c r="I59" s="37" t="s">
        <v>1028</v>
      </c>
      <c r="J59" s="37" t="str">
        <f t="shared" si="2"/>
        <v>0</v>
      </c>
      <c r="K59" s="37" t="s">
        <v>195</v>
      </c>
      <c r="L59" s="37">
        <v>0</v>
      </c>
      <c r="M59" s="37">
        <v>0</v>
      </c>
      <c r="N59" s="37">
        <v>1</v>
      </c>
      <c r="O59" s="37">
        <v>1</v>
      </c>
      <c r="P59" s="37">
        <v>0</v>
      </c>
      <c r="Q59" s="37">
        <v>0.01</v>
      </c>
      <c r="AE59" t="str">
        <f t="shared" ref="AE59" si="25">CONCATENATE(D59,$E$1,D60)</f>
        <v>1;1</v>
      </c>
    </row>
    <row r="60" spans="1:34" x14ac:dyDescent="0.25">
      <c r="A60" t="str">
        <f>Master!A132</f>
        <v>R132</v>
      </c>
      <c r="B60" t="str">
        <f>Master!C132</f>
        <v xml:space="preserve">1 ATP + 1 CO2 + 1 NH3 = 1 ADP + 1 Carbamoylphosphate + 1 Proton </v>
      </c>
      <c r="C60" t="str">
        <f>Master!F132</f>
        <v>N</v>
      </c>
      <c r="D60">
        <f>Master!M132</f>
        <v>1</v>
      </c>
      <c r="F60" s="37" t="str">
        <f t="shared" si="0"/>
        <v>R132</v>
      </c>
      <c r="G60" s="37" t="str">
        <f t="shared" si="1"/>
        <v xml:space="preserve">1 ATP + 1 CO2 + 1 NH3 = 1 ADP + 1 Carbamoylphosphate + 1 Proton </v>
      </c>
      <c r="H60" s="37" t="s">
        <v>1027</v>
      </c>
      <c r="I60" s="37" t="s">
        <v>1028</v>
      </c>
      <c r="J60" s="37" t="str">
        <f t="shared" si="2"/>
        <v>0</v>
      </c>
      <c r="K60" s="37" t="s">
        <v>195</v>
      </c>
      <c r="L60" s="37">
        <v>0</v>
      </c>
      <c r="M60" s="37">
        <v>0</v>
      </c>
      <c r="N60" s="37">
        <v>1</v>
      </c>
      <c r="O60" s="37">
        <v>1</v>
      </c>
      <c r="P60" s="37">
        <v>0</v>
      </c>
      <c r="Q60" s="37">
        <v>0.01</v>
      </c>
    </row>
    <row r="61" spans="1:34" x14ac:dyDescent="0.25">
      <c r="A61" t="str">
        <f>Master!A134</f>
        <v>R134</v>
      </c>
      <c r="B61" t="str">
        <f>Master!C134</f>
        <v xml:space="preserve">1 Carbamoylphosphate + 1 Ornithine = 1 Citrulline + 1 Phosphate + 1 Proton </v>
      </c>
      <c r="C61" t="str">
        <f>Master!F134</f>
        <v>Y</v>
      </c>
      <c r="D61">
        <f>Master!M134</f>
        <v>1</v>
      </c>
      <c r="F61" s="37" t="str">
        <f t="shared" si="0"/>
        <v>R134</v>
      </c>
      <c r="G61" s="37" t="str">
        <f t="shared" si="1"/>
        <v xml:space="preserve">1 Carbamoylphosphate + 1 Ornithine = 1 Citrulline + 1 Phosphate + 1 Proton </v>
      </c>
      <c r="H61" s="37" t="s">
        <v>1027</v>
      </c>
      <c r="I61" s="37" t="s">
        <v>1028</v>
      </c>
      <c r="J61" s="37" t="str">
        <f t="shared" si="2"/>
        <v>-inf</v>
      </c>
      <c r="K61" s="37" t="s">
        <v>195</v>
      </c>
      <c r="L61" s="37">
        <v>0</v>
      </c>
      <c r="M61" s="37">
        <v>0</v>
      </c>
      <c r="N61" s="37">
        <v>1</v>
      </c>
      <c r="O61" s="37">
        <v>1</v>
      </c>
      <c r="P61" s="37">
        <v>0</v>
      </c>
      <c r="Q61" s="37">
        <v>0.01</v>
      </c>
      <c r="AE61" t="str">
        <f t="shared" ref="AE61" si="26">CONCATENATE(D61,$E$1,D62)</f>
        <v>1;1</v>
      </c>
      <c r="AF61" t="str">
        <f t="shared" si="4"/>
        <v>1;1;1;1</v>
      </c>
    </row>
    <row r="62" spans="1:34" x14ac:dyDescent="0.25">
      <c r="A62" t="str">
        <f>Master!A136</f>
        <v>R136</v>
      </c>
      <c r="B62" t="str">
        <f>Master!C136</f>
        <v xml:space="preserve">1 ATP + 1 Citrulline + 1 L-Aspartate = 1 AMP + 1 L-Argininosuccinate + 1 PPi + 1 Proton </v>
      </c>
      <c r="C62" t="str">
        <f>Master!F136</f>
        <v>Y</v>
      </c>
      <c r="D62">
        <f>Master!M136</f>
        <v>1</v>
      </c>
      <c r="F62" s="37" t="str">
        <f t="shared" si="0"/>
        <v>R136</v>
      </c>
      <c r="G62" s="37" t="str">
        <f t="shared" si="1"/>
        <v xml:space="preserve">1 ATP + 1 Citrulline + 1 L-Aspartate = 1 AMP + 1 L-Argininosuccinate + 1 PPi + 1 Proton </v>
      </c>
      <c r="H62" s="37" t="s">
        <v>1027</v>
      </c>
      <c r="I62" s="37" t="s">
        <v>1028</v>
      </c>
      <c r="J62" s="37" t="str">
        <f t="shared" si="2"/>
        <v>-inf</v>
      </c>
      <c r="K62" s="37" t="s">
        <v>195</v>
      </c>
      <c r="L62" s="37">
        <v>0</v>
      </c>
      <c r="M62" s="37">
        <v>0</v>
      </c>
      <c r="N62" s="37">
        <v>1</v>
      </c>
      <c r="O62" s="37">
        <v>1</v>
      </c>
      <c r="P62" s="37">
        <v>0</v>
      </c>
      <c r="Q62" s="37">
        <v>0.01</v>
      </c>
    </row>
    <row r="63" spans="1:34" x14ac:dyDescent="0.25">
      <c r="A63" t="str">
        <f>Master!A138</f>
        <v>R138</v>
      </c>
      <c r="B63" t="str">
        <f>Master!C138</f>
        <v xml:space="preserve">1 L-Argininosuccinate = 1 Fumarate + 1 L-Arginine </v>
      </c>
      <c r="C63" t="str">
        <f>Master!F138</f>
        <v>Y</v>
      </c>
      <c r="D63">
        <f>Master!M138</f>
        <v>1</v>
      </c>
      <c r="F63" s="37" t="str">
        <f t="shared" si="0"/>
        <v>R138</v>
      </c>
      <c r="G63" s="37" t="str">
        <f t="shared" si="1"/>
        <v xml:space="preserve">1 L-Argininosuccinate = 1 Fumarate + 1 L-Arginine </v>
      </c>
      <c r="H63" s="37" t="s">
        <v>1027</v>
      </c>
      <c r="I63" s="37" t="s">
        <v>1028</v>
      </c>
      <c r="J63" s="37" t="str">
        <f t="shared" si="2"/>
        <v>-inf</v>
      </c>
      <c r="K63" s="37" t="s">
        <v>195</v>
      </c>
      <c r="L63" s="37">
        <v>0</v>
      </c>
      <c r="M63" s="37">
        <v>0</v>
      </c>
      <c r="N63" s="37">
        <v>1</v>
      </c>
      <c r="O63" s="37">
        <v>1</v>
      </c>
      <c r="P63" s="37">
        <v>0</v>
      </c>
      <c r="Q63" s="37">
        <v>0.01</v>
      </c>
      <c r="AE63" t="str">
        <f t="shared" ref="AE63" si="27">CONCATENATE(D63,$E$1,D64)</f>
        <v>1;1</v>
      </c>
    </row>
    <row r="64" spans="1:34" x14ac:dyDescent="0.25">
      <c r="A64" t="str">
        <f>Master!A140</f>
        <v>R140</v>
      </c>
      <c r="B64" t="str">
        <f>Master!C140</f>
        <v xml:space="preserve">1 Acetyl-CoA + 1 L-Serine = 1 CoA + 1 O-Acetyl-L-serine </v>
      </c>
      <c r="C64" t="str">
        <f>Master!F140</f>
        <v>Y</v>
      </c>
      <c r="D64">
        <f>Master!M140</f>
        <v>1</v>
      </c>
      <c r="F64" s="37" t="str">
        <f t="shared" si="0"/>
        <v>R140</v>
      </c>
      <c r="G64" s="37" t="str">
        <f t="shared" si="1"/>
        <v xml:space="preserve">1 Acetyl-CoA + 1 L-Serine = 1 CoA + 1 O-Acetyl-L-serine </v>
      </c>
      <c r="H64" s="37" t="s">
        <v>1027</v>
      </c>
      <c r="I64" s="37" t="s">
        <v>1028</v>
      </c>
      <c r="J64" s="37" t="str">
        <f t="shared" si="2"/>
        <v>-inf</v>
      </c>
      <c r="K64" s="37" t="s">
        <v>195</v>
      </c>
      <c r="L64" s="37">
        <v>0</v>
      </c>
      <c r="M64" s="37">
        <v>0</v>
      </c>
      <c r="N64" s="37">
        <v>1</v>
      </c>
      <c r="O64" s="37">
        <v>1</v>
      </c>
      <c r="P64" s="37">
        <v>0</v>
      </c>
      <c r="Q64" s="37">
        <v>0.01</v>
      </c>
    </row>
    <row r="65" spans="1:36" x14ac:dyDescent="0.25">
      <c r="A65" t="str">
        <f>Master!A142</f>
        <v>R142</v>
      </c>
      <c r="B65" t="str">
        <f>Master!C142</f>
        <v xml:space="preserve">1 H2S + 1 O-Acetyl-L-serine = 1 Acetate + 1 L-Cysteine + 1 Proton </v>
      </c>
      <c r="C65" t="str">
        <f>Master!F142</f>
        <v>N</v>
      </c>
      <c r="D65">
        <f>Master!M142</f>
        <v>1</v>
      </c>
      <c r="F65" s="37" t="str">
        <f t="shared" ref="F65:F128" si="28">A65</f>
        <v>R142</v>
      </c>
      <c r="G65" s="37" t="str">
        <f t="shared" ref="G65:G128" si="29">B65</f>
        <v xml:space="preserve">1 H2S + 1 O-Acetyl-L-serine = 1 Acetate + 1 L-Cysteine + 1 Proton </v>
      </c>
      <c r="H65" s="37" t="s">
        <v>1027</v>
      </c>
      <c r="I65" s="37" t="s">
        <v>1028</v>
      </c>
      <c r="J65" s="37" t="str">
        <f t="shared" ref="J65:J128" si="30">IF(EXACT(C65,"Y"),"-inf","0")</f>
        <v>0</v>
      </c>
      <c r="K65" s="37" t="s">
        <v>195</v>
      </c>
      <c r="L65" s="37">
        <v>0</v>
      </c>
      <c r="M65" s="37">
        <v>0</v>
      </c>
      <c r="N65" s="37">
        <v>1</v>
      </c>
      <c r="O65" s="37">
        <v>1</v>
      </c>
      <c r="P65" s="37">
        <v>0</v>
      </c>
      <c r="Q65" s="37">
        <v>0.01</v>
      </c>
      <c r="AE65" t="str">
        <f t="shared" si="3"/>
        <v>1;1</v>
      </c>
      <c r="AF65" t="str">
        <f>CONCATENATE(AE65,$E$1,AE67)</f>
        <v>1;1;1;1</v>
      </c>
      <c r="AG65" t="str">
        <f>CONCATENATE(AF65,$E$1,AF69)</f>
        <v>1;1;1;1;1;1;1;1</v>
      </c>
      <c r="AH65" t="str">
        <f>CONCATENATE(AG65,$E$1,AG73)</f>
        <v>1;1;1;1;1;1;1;1;1;1;1;1;1;3;1;1</v>
      </c>
      <c r="AI65" t="str">
        <f>CONCATENATE(AH65,$E$1,AH81)</f>
        <v>1;1;1;1;1;1;1;1;1;1;1;1;1;3;1;1;1;1;1;1;1;1;1;1;1;1;1;1;1;1;1;1</v>
      </c>
      <c r="AJ65" t="str">
        <f>CONCATENATE(AI65,$E$1,AI97)</f>
        <v>1;1;1;1;1;1;1;1;1;1;1;1;1;3;1;1;1;1;1;1;1;1;1;1;1;1;1;1;1;1;1;1;1;1;1;1;1;1;1;1;1;1;1;1;1;1;1;1;1;1;1;1;1;1;1;1;1;1;1;0;1;1;3;1</v>
      </c>
    </row>
    <row r="66" spans="1:36" x14ac:dyDescent="0.25">
      <c r="A66" t="str">
        <f>Master!A144</f>
        <v>R144</v>
      </c>
      <c r="B66" t="str">
        <f>Master!C144</f>
        <v xml:space="preserve">1 ATP + 1 L-Aspartate = 1 4-Phospho-L-aspartate + 1 ADP </v>
      </c>
      <c r="C66" t="str">
        <f>Master!F144</f>
        <v>Y</v>
      </c>
      <c r="D66">
        <f>Master!M144</f>
        <v>1</v>
      </c>
      <c r="F66" s="37" t="str">
        <f t="shared" si="28"/>
        <v>R144</v>
      </c>
      <c r="G66" s="37" t="str">
        <f t="shared" si="29"/>
        <v xml:space="preserve">1 ATP + 1 L-Aspartate = 1 4-Phospho-L-aspartate + 1 ADP </v>
      </c>
      <c r="H66" s="37" t="s">
        <v>1027</v>
      </c>
      <c r="I66" s="37" t="s">
        <v>1028</v>
      </c>
      <c r="J66" s="37" t="str">
        <f t="shared" si="30"/>
        <v>-inf</v>
      </c>
      <c r="K66" s="37" t="s">
        <v>195</v>
      </c>
      <c r="L66" s="37">
        <v>0</v>
      </c>
      <c r="M66" s="37">
        <v>0</v>
      </c>
      <c r="N66" s="37">
        <v>1</v>
      </c>
      <c r="O66" s="37">
        <v>1</v>
      </c>
      <c r="P66" s="37">
        <v>0</v>
      </c>
      <c r="Q66" s="37">
        <v>0.01</v>
      </c>
      <c r="AE66" t="str">
        <f t="shared" ref="AE66:AE129" si="31">CONCATENATE(D66,$E$1,D67)</f>
        <v>1;1</v>
      </c>
    </row>
    <row r="67" spans="1:36" x14ac:dyDescent="0.25">
      <c r="A67" t="str">
        <f>Master!A146</f>
        <v>R146</v>
      </c>
      <c r="B67" t="str">
        <f>Master!C146</f>
        <v xml:space="preserve">1 4-Phospho-L-aspartate + 1 NADPH + 1 Proton = 1 L-Aspartate4-semialdehyde + 1 NADP + 1 Phosphate </v>
      </c>
      <c r="C67" t="str">
        <f>Master!F146</f>
        <v>Y</v>
      </c>
      <c r="D67">
        <f>Master!M146</f>
        <v>1</v>
      </c>
      <c r="F67" s="37" t="str">
        <f t="shared" si="28"/>
        <v>R146</v>
      </c>
      <c r="G67" s="37" t="str">
        <f t="shared" si="29"/>
        <v xml:space="preserve">1 4-Phospho-L-aspartate + 1 NADPH + 1 Proton = 1 L-Aspartate4-semialdehyde + 1 NADP + 1 Phosphate </v>
      </c>
      <c r="H67" s="37" t="s">
        <v>1027</v>
      </c>
      <c r="I67" s="37" t="s">
        <v>1028</v>
      </c>
      <c r="J67" s="37" t="str">
        <f t="shared" si="30"/>
        <v>-inf</v>
      </c>
      <c r="K67" s="37" t="s">
        <v>195</v>
      </c>
      <c r="L67" s="37">
        <v>0</v>
      </c>
      <c r="M67" s="37">
        <v>0</v>
      </c>
      <c r="N67" s="37">
        <v>1</v>
      </c>
      <c r="O67" s="37">
        <v>1</v>
      </c>
      <c r="P67" s="37">
        <v>0</v>
      </c>
      <c r="Q67" s="37">
        <v>0.01</v>
      </c>
      <c r="AE67" t="str">
        <f t="shared" si="31"/>
        <v>1;1</v>
      </c>
    </row>
    <row r="68" spans="1:36" x14ac:dyDescent="0.25">
      <c r="A68" t="str">
        <f>Master!A148</f>
        <v>R148</v>
      </c>
      <c r="B68" t="str">
        <f>Master!C148</f>
        <v xml:space="preserve">1 L-Aspartate4-semialdehyde + 1 NADH + 1 Proton = 1 L-Homoserine + 1 NAD </v>
      </c>
      <c r="C68" t="str">
        <f>Master!F148</f>
        <v>Y</v>
      </c>
      <c r="D68">
        <f>Master!M148</f>
        <v>1</v>
      </c>
      <c r="F68" s="37" t="str">
        <f t="shared" si="28"/>
        <v>R148</v>
      </c>
      <c r="G68" s="37" t="str">
        <f t="shared" si="29"/>
        <v xml:space="preserve">1 L-Aspartate4-semialdehyde + 1 NADH + 1 Proton = 1 L-Homoserine + 1 NAD </v>
      </c>
      <c r="H68" s="37" t="s">
        <v>1027</v>
      </c>
      <c r="I68" s="37" t="s">
        <v>1028</v>
      </c>
      <c r="J68" s="37" t="str">
        <f t="shared" si="30"/>
        <v>-inf</v>
      </c>
      <c r="K68" s="37" t="s">
        <v>195</v>
      </c>
      <c r="L68" s="37">
        <v>0</v>
      </c>
      <c r="M68" s="37">
        <v>0</v>
      </c>
      <c r="N68" s="37">
        <v>1</v>
      </c>
      <c r="O68" s="37">
        <v>1</v>
      </c>
      <c r="P68" s="37">
        <v>0</v>
      </c>
      <c r="Q68" s="37">
        <v>0.01</v>
      </c>
      <c r="AE68" t="str">
        <f t="shared" si="31"/>
        <v>1;1</v>
      </c>
    </row>
    <row r="69" spans="1:36" x14ac:dyDescent="0.25">
      <c r="A69" t="str">
        <f>Master!A150</f>
        <v>R150</v>
      </c>
      <c r="B69" t="str">
        <f>Master!C150</f>
        <v xml:space="preserve">1 ATP + 1 L-Homoserine = 1 ADP + 1 O-Phospho-L-homoserine + 1 Proton </v>
      </c>
      <c r="C69" t="str">
        <f>Master!F150</f>
        <v>N</v>
      </c>
      <c r="D69">
        <f>Master!M150</f>
        <v>1</v>
      </c>
      <c r="F69" s="37" t="str">
        <f t="shared" si="28"/>
        <v>R150</v>
      </c>
      <c r="G69" s="37" t="str">
        <f t="shared" si="29"/>
        <v xml:space="preserve">1 ATP + 1 L-Homoserine = 1 ADP + 1 O-Phospho-L-homoserine + 1 Proton </v>
      </c>
      <c r="H69" s="37" t="s">
        <v>1027</v>
      </c>
      <c r="I69" s="37" t="s">
        <v>1028</v>
      </c>
      <c r="J69" s="37" t="str">
        <f t="shared" si="30"/>
        <v>0</v>
      </c>
      <c r="K69" s="37" t="s">
        <v>195</v>
      </c>
      <c r="L69" s="37">
        <v>0</v>
      </c>
      <c r="M69" s="37">
        <v>0</v>
      </c>
      <c r="N69" s="37">
        <v>1</v>
      </c>
      <c r="O69" s="37">
        <v>1</v>
      </c>
      <c r="P69" s="37">
        <v>0</v>
      </c>
      <c r="Q69" s="37">
        <v>0.01</v>
      </c>
      <c r="AE69" t="str">
        <f t="shared" si="31"/>
        <v>1;1</v>
      </c>
      <c r="AF69" t="str">
        <f t="shared" ref="AF69:AF125" si="32">CONCATENATE(AE69,$E$1,AE71)</f>
        <v>1;1;1;1</v>
      </c>
    </row>
    <row r="70" spans="1:36" x14ac:dyDescent="0.25">
      <c r="A70" t="str">
        <f>Master!A153</f>
        <v>R153</v>
      </c>
      <c r="B70" t="str">
        <f>Master!C153</f>
        <v xml:space="preserve">1 H2O + 1 O-Phospho-L-homoserine = 1 L-Threonine + 1 Phosphate </v>
      </c>
      <c r="C70" t="str">
        <f>Master!F153</f>
        <v>N</v>
      </c>
      <c r="D70">
        <f>Master!M153</f>
        <v>1</v>
      </c>
      <c r="F70" s="37" t="str">
        <f t="shared" si="28"/>
        <v>R153</v>
      </c>
      <c r="G70" s="37" t="str">
        <f t="shared" si="29"/>
        <v xml:space="preserve">1 H2O + 1 O-Phospho-L-homoserine = 1 L-Threonine + 1 Phosphate </v>
      </c>
      <c r="H70" s="37" t="s">
        <v>1027</v>
      </c>
      <c r="I70" s="37" t="s">
        <v>1028</v>
      </c>
      <c r="J70" s="37" t="str">
        <f t="shared" si="30"/>
        <v>0</v>
      </c>
      <c r="K70" s="37" t="s">
        <v>195</v>
      </c>
      <c r="L70" s="37">
        <v>0</v>
      </c>
      <c r="M70" s="37">
        <v>0</v>
      </c>
      <c r="N70" s="37">
        <v>1</v>
      </c>
      <c r="O70" s="37">
        <v>1</v>
      </c>
      <c r="P70" s="37">
        <v>0</v>
      </c>
      <c r="Q70" s="37">
        <v>0.01</v>
      </c>
      <c r="AE70" t="str">
        <f t="shared" si="31"/>
        <v>1;1</v>
      </c>
    </row>
    <row r="71" spans="1:36" x14ac:dyDescent="0.25">
      <c r="A71" t="str">
        <f>Master!A156</f>
        <v>R156</v>
      </c>
      <c r="B71" t="str">
        <f>Master!C156</f>
        <v xml:space="preserve">1 L-Threonine = 1 2-Oxobutyrate + 1 NH3 + 1 Proton </v>
      </c>
      <c r="C71" t="str">
        <f>Master!F156</f>
        <v>N</v>
      </c>
      <c r="D71">
        <f>Master!M156</f>
        <v>1</v>
      </c>
      <c r="F71" s="37" t="str">
        <f t="shared" si="28"/>
        <v>R156</v>
      </c>
      <c r="G71" s="37" t="str">
        <f t="shared" si="29"/>
        <v xml:space="preserve">1 L-Threonine = 1 2-Oxobutyrate + 1 NH3 + 1 Proton </v>
      </c>
      <c r="H71" s="37" t="s">
        <v>1027</v>
      </c>
      <c r="I71" s="37" t="s">
        <v>1028</v>
      </c>
      <c r="J71" s="37" t="str">
        <f t="shared" si="30"/>
        <v>0</v>
      </c>
      <c r="K71" s="37" t="s">
        <v>195</v>
      </c>
      <c r="L71" s="37">
        <v>0</v>
      </c>
      <c r="M71" s="37">
        <v>0</v>
      </c>
      <c r="N71" s="37">
        <v>1</v>
      </c>
      <c r="O71" s="37">
        <v>1</v>
      </c>
      <c r="P71" s="37">
        <v>0</v>
      </c>
      <c r="Q71" s="37">
        <v>0.01</v>
      </c>
      <c r="AE71" t="str">
        <f t="shared" si="31"/>
        <v>1;1</v>
      </c>
    </row>
    <row r="72" spans="1:36" x14ac:dyDescent="0.25">
      <c r="A72" t="str">
        <f>Master!A159</f>
        <v>R159</v>
      </c>
      <c r="B72" t="str">
        <f>Master!C159</f>
        <v>L-Cysteine + NH3 + 2-Oxobutyrate + Proton = Cystathionine + H2O</v>
      </c>
      <c r="C72" t="str">
        <f>Master!F159</f>
        <v>Y</v>
      </c>
      <c r="D72">
        <f>Master!M159</f>
        <v>1</v>
      </c>
      <c r="F72" s="37" t="str">
        <f t="shared" si="28"/>
        <v>R159</v>
      </c>
      <c r="G72" s="37" t="str">
        <f t="shared" si="29"/>
        <v>L-Cysteine + NH3 + 2-Oxobutyrate + Proton = Cystathionine + H2O</v>
      </c>
      <c r="H72" s="37" t="s">
        <v>1027</v>
      </c>
      <c r="I72" s="37" t="s">
        <v>1028</v>
      </c>
      <c r="J72" s="37" t="str">
        <f t="shared" si="30"/>
        <v>-inf</v>
      </c>
      <c r="K72" s="37" t="s">
        <v>195</v>
      </c>
      <c r="L72" s="37">
        <v>0</v>
      </c>
      <c r="M72" s="37">
        <v>0</v>
      </c>
      <c r="N72" s="37">
        <v>1</v>
      </c>
      <c r="O72" s="37">
        <v>1</v>
      </c>
      <c r="P72" s="37">
        <v>0</v>
      </c>
      <c r="Q72" s="37">
        <v>0.01</v>
      </c>
      <c r="AE72" t="str">
        <f t="shared" si="31"/>
        <v>1;1</v>
      </c>
    </row>
    <row r="73" spans="1:36" x14ac:dyDescent="0.25">
      <c r="A73" t="str">
        <f>Master!A160</f>
        <v>R160</v>
      </c>
      <c r="B73" t="str">
        <f>Master!C160</f>
        <v xml:space="preserve">1 H2O + 1 L-Cysteine = 1 H2S + 1 NH3 + 1 Proton + 1 Pyruvate </v>
      </c>
      <c r="C73" t="str">
        <f>Master!F160</f>
        <v>N</v>
      </c>
      <c r="D73">
        <f>Master!M160</f>
        <v>1</v>
      </c>
      <c r="F73" s="37" t="str">
        <f t="shared" si="28"/>
        <v>R160</v>
      </c>
      <c r="G73" s="37" t="str">
        <f t="shared" si="29"/>
        <v xml:space="preserve">1 H2O + 1 L-Cysteine = 1 H2S + 1 NH3 + 1 Proton + 1 Pyruvate </v>
      </c>
      <c r="H73" s="37" t="s">
        <v>1027</v>
      </c>
      <c r="I73" s="37" t="s">
        <v>1028</v>
      </c>
      <c r="J73" s="37" t="str">
        <f t="shared" si="30"/>
        <v>0</v>
      </c>
      <c r="K73" s="37" t="s">
        <v>195</v>
      </c>
      <c r="L73" s="37">
        <v>0</v>
      </c>
      <c r="M73" s="37">
        <v>0</v>
      </c>
      <c r="N73" s="37">
        <v>1</v>
      </c>
      <c r="O73" s="37">
        <v>1</v>
      </c>
      <c r="P73" s="37">
        <v>0</v>
      </c>
      <c r="Q73" s="37">
        <v>0.01</v>
      </c>
      <c r="AE73" t="str">
        <f t="shared" si="31"/>
        <v>1;1</v>
      </c>
      <c r="AF73" t="str">
        <f t="shared" si="32"/>
        <v>1;1;1;1</v>
      </c>
      <c r="AG73" t="str">
        <f t="shared" ref="AG73:AG105" si="33">CONCATENATE(AF73,$E$1,AF77)</f>
        <v>1;1;1;1;1;3;1;1</v>
      </c>
    </row>
    <row r="74" spans="1:36" x14ac:dyDescent="0.25">
      <c r="A74" t="str">
        <f>Master!A162</f>
        <v>R162</v>
      </c>
      <c r="B74" t="str">
        <f>Master!C162</f>
        <v xml:space="preserve">1 Cystathionine + 1 H2O = 1 Homocysteine + 1 NH3 + 1 Proton + 1 Pyruvate </v>
      </c>
      <c r="C74" t="str">
        <f>Master!F162</f>
        <v>N</v>
      </c>
      <c r="D74">
        <f>Master!M162</f>
        <v>1</v>
      </c>
      <c r="F74" s="37" t="str">
        <f t="shared" si="28"/>
        <v>R162</v>
      </c>
      <c r="G74" s="37" t="str">
        <f t="shared" si="29"/>
        <v xml:space="preserve">1 Cystathionine + 1 H2O = 1 Homocysteine + 1 NH3 + 1 Proton + 1 Pyruvate </v>
      </c>
      <c r="H74" s="37" t="s">
        <v>1027</v>
      </c>
      <c r="I74" s="37" t="s">
        <v>1028</v>
      </c>
      <c r="J74" s="37" t="str">
        <f t="shared" si="30"/>
        <v>0</v>
      </c>
      <c r="K74" s="37" t="s">
        <v>195</v>
      </c>
      <c r="L74" s="37">
        <v>0</v>
      </c>
      <c r="M74" s="37">
        <v>0</v>
      </c>
      <c r="N74" s="37">
        <v>1</v>
      </c>
      <c r="O74" s="37">
        <v>1</v>
      </c>
      <c r="P74" s="37">
        <v>0</v>
      </c>
      <c r="Q74" s="37">
        <v>0.01</v>
      </c>
      <c r="AE74" t="str">
        <f t="shared" si="31"/>
        <v>1;1</v>
      </c>
    </row>
    <row r="75" spans="1:36" x14ac:dyDescent="0.25">
      <c r="A75" t="str">
        <f>Master!A164</f>
        <v>R164</v>
      </c>
      <c r="B75" t="str">
        <f>Master!C164</f>
        <v xml:space="preserve">1 5-methyl-tetrahydrofolate + 1 Homocysteine = 1 L-Methionine + 1 tetrahydrofolate_B9 </v>
      </c>
      <c r="C75" t="str">
        <f>Master!F164</f>
        <v>Y</v>
      </c>
      <c r="D75">
        <f>Master!M164</f>
        <v>1</v>
      </c>
      <c r="F75" s="37" t="str">
        <f t="shared" si="28"/>
        <v>R164</v>
      </c>
      <c r="G75" s="37" t="str">
        <f t="shared" si="29"/>
        <v xml:space="preserve">1 5-methyl-tetrahydrofolate + 1 Homocysteine = 1 L-Methionine + 1 tetrahydrofolate_B9 </v>
      </c>
      <c r="H75" s="37" t="s">
        <v>1027</v>
      </c>
      <c r="I75" s="37" t="s">
        <v>1028</v>
      </c>
      <c r="J75" s="37" t="str">
        <f t="shared" si="30"/>
        <v>-inf</v>
      </c>
      <c r="K75" s="37" t="s">
        <v>195</v>
      </c>
      <c r="L75" s="37">
        <v>0</v>
      </c>
      <c r="M75" s="37">
        <v>0</v>
      </c>
      <c r="N75" s="37">
        <v>1</v>
      </c>
      <c r="O75" s="37">
        <v>1</v>
      </c>
      <c r="P75" s="37">
        <v>0</v>
      </c>
      <c r="Q75" s="37">
        <v>0.01</v>
      </c>
      <c r="AE75" t="str">
        <f t="shared" si="31"/>
        <v>1;1</v>
      </c>
    </row>
    <row r="76" spans="1:36" x14ac:dyDescent="0.25">
      <c r="A76" t="str">
        <f>Master!A167</f>
        <v>R167</v>
      </c>
      <c r="B76" t="str">
        <f>Master!C167</f>
        <v>1 L-Serine = 1 NH3 + 1 Proton + 1 Pyruvate</v>
      </c>
      <c r="C76" t="str">
        <f>Master!F167</f>
        <v>N</v>
      </c>
      <c r="D76">
        <f>Master!M167</f>
        <v>1</v>
      </c>
      <c r="F76" s="37" t="str">
        <f t="shared" si="28"/>
        <v>R167</v>
      </c>
      <c r="G76" s="37" t="str">
        <f t="shared" si="29"/>
        <v>1 L-Serine = 1 NH3 + 1 Proton + 1 Pyruvate</v>
      </c>
      <c r="H76" s="37" t="s">
        <v>1027</v>
      </c>
      <c r="I76" s="37" t="s">
        <v>1028</v>
      </c>
      <c r="J76" s="37" t="str">
        <f t="shared" si="30"/>
        <v>0</v>
      </c>
      <c r="K76" s="37" t="s">
        <v>195</v>
      </c>
      <c r="L76" s="37">
        <v>0</v>
      </c>
      <c r="M76" s="37">
        <v>0</v>
      </c>
      <c r="N76" s="37">
        <v>1</v>
      </c>
      <c r="O76" s="37">
        <v>1</v>
      </c>
      <c r="P76" s="37">
        <v>0</v>
      </c>
      <c r="Q76" s="37">
        <v>0.01</v>
      </c>
      <c r="AE76" t="str">
        <f t="shared" si="31"/>
        <v>1;1</v>
      </c>
    </row>
    <row r="77" spans="1:36" x14ac:dyDescent="0.25">
      <c r="A77" t="str">
        <f>Master!A170</f>
        <v>R170</v>
      </c>
      <c r="B77" t="str">
        <f>Master!C170</f>
        <v xml:space="preserve">1 L-Serine + 1 tetrahydrofolate_B9 = 1 5-10-Methylenetetrahydrofolate + 1 Glycine + 1 H2O </v>
      </c>
      <c r="C77" t="str">
        <f>Master!F170</f>
        <v>Y</v>
      </c>
      <c r="D77">
        <f>Master!M170</f>
        <v>1</v>
      </c>
      <c r="F77" s="37" t="str">
        <f t="shared" si="28"/>
        <v>R170</v>
      </c>
      <c r="G77" s="37" t="str">
        <f t="shared" si="29"/>
        <v xml:space="preserve">1 L-Serine + 1 tetrahydrofolate_B9 = 1 5-10-Methylenetetrahydrofolate + 1 Glycine + 1 H2O </v>
      </c>
      <c r="H77" s="37" t="s">
        <v>1027</v>
      </c>
      <c r="I77" s="37" t="s">
        <v>1028</v>
      </c>
      <c r="J77" s="37" t="str">
        <f t="shared" si="30"/>
        <v>-inf</v>
      </c>
      <c r="K77" s="37" t="s">
        <v>195</v>
      </c>
      <c r="L77" s="37">
        <v>0</v>
      </c>
      <c r="M77" s="37">
        <v>0</v>
      </c>
      <c r="N77" s="37">
        <v>1</v>
      </c>
      <c r="O77" s="37">
        <v>1</v>
      </c>
      <c r="P77" s="37">
        <v>0</v>
      </c>
      <c r="Q77" s="37">
        <v>0.01</v>
      </c>
      <c r="AE77" t="str">
        <f t="shared" si="31"/>
        <v>1;3</v>
      </c>
      <c r="AF77" t="str">
        <f t="shared" si="32"/>
        <v>1;3;1;1</v>
      </c>
    </row>
    <row r="78" spans="1:36" x14ac:dyDescent="0.25">
      <c r="A78" t="str">
        <f>Master!A173</f>
        <v>R173</v>
      </c>
      <c r="B78" t="str">
        <f>Master!C173</f>
        <v xml:space="preserve">1 3-Phosphoglycerate + 1 H2O + 1 L-Glutamate + 1 NAD = 1 2-Oxoglutarate + 1 L-Serine + 1 NADH + 1 Phosphate + 1 Proton </v>
      </c>
      <c r="C78" t="str">
        <f>Master!F173</f>
        <v>N</v>
      </c>
      <c r="D78">
        <f>Master!M173</f>
        <v>3</v>
      </c>
      <c r="F78" s="37" t="str">
        <f t="shared" si="28"/>
        <v>R173</v>
      </c>
      <c r="G78" s="37" t="str">
        <f t="shared" si="29"/>
        <v xml:space="preserve">1 3-Phosphoglycerate + 1 H2O + 1 L-Glutamate + 1 NAD = 1 2-Oxoglutarate + 1 L-Serine + 1 NADH + 1 Phosphate + 1 Proton </v>
      </c>
      <c r="H78" s="37" t="s">
        <v>1027</v>
      </c>
      <c r="I78" s="37" t="s">
        <v>1028</v>
      </c>
      <c r="J78" s="37" t="str">
        <f t="shared" si="30"/>
        <v>0</v>
      </c>
      <c r="K78" s="37" t="s">
        <v>195</v>
      </c>
      <c r="L78" s="37">
        <v>0</v>
      </c>
      <c r="M78" s="37">
        <v>0</v>
      </c>
      <c r="N78" s="37">
        <v>1</v>
      </c>
      <c r="O78" s="37">
        <v>1</v>
      </c>
      <c r="P78" s="37">
        <v>0</v>
      </c>
      <c r="Q78" s="37">
        <v>0.01</v>
      </c>
      <c r="AE78" t="str">
        <f t="shared" si="31"/>
        <v>3;1</v>
      </c>
    </row>
    <row r="79" spans="1:36" x14ac:dyDescent="0.25">
      <c r="A79" t="str">
        <f>Master!A179</f>
        <v>R179</v>
      </c>
      <c r="B79" t="str">
        <f>Master!C179</f>
        <v xml:space="preserve">1 ATP + 1 PRPP = 1 Phosphoribosyl-ATP + 1 PPi </v>
      </c>
      <c r="C79" t="str">
        <f>Master!F179</f>
        <v>Y</v>
      </c>
      <c r="D79">
        <f>Master!M179</f>
        <v>1</v>
      </c>
      <c r="F79" s="37" t="str">
        <f t="shared" si="28"/>
        <v>R179</v>
      </c>
      <c r="G79" s="37" t="str">
        <f t="shared" si="29"/>
        <v xml:space="preserve">1 ATP + 1 PRPP = 1 Phosphoribosyl-ATP + 1 PPi </v>
      </c>
      <c r="H79" s="37" t="s">
        <v>1027</v>
      </c>
      <c r="I79" s="37" t="s">
        <v>1028</v>
      </c>
      <c r="J79" s="37" t="str">
        <f t="shared" si="30"/>
        <v>-inf</v>
      </c>
      <c r="K79" s="37" t="s">
        <v>195</v>
      </c>
      <c r="L79" s="37">
        <v>0</v>
      </c>
      <c r="M79" s="37">
        <v>0</v>
      </c>
      <c r="N79" s="37">
        <v>1</v>
      </c>
      <c r="O79" s="37">
        <v>1</v>
      </c>
      <c r="P79" s="37">
        <v>0</v>
      </c>
      <c r="Q79" s="37">
        <v>0.01</v>
      </c>
      <c r="AE79" t="str">
        <f t="shared" si="31"/>
        <v>1;1</v>
      </c>
    </row>
    <row r="80" spans="1:36" x14ac:dyDescent="0.25">
      <c r="A80" t="str">
        <f>Master!A181</f>
        <v>R181</v>
      </c>
      <c r="B80" t="str">
        <f>Master!C181</f>
        <v xml:space="preserve">1 H2O + 1 Phosphoribosyl-ATP = 1 Phosphoribosyl-AMP + 1 PPi + 1 Proton </v>
      </c>
      <c r="C80" t="str">
        <f>Master!F181</f>
        <v>N</v>
      </c>
      <c r="D80">
        <f>Master!M181</f>
        <v>1</v>
      </c>
      <c r="F80" s="37" t="str">
        <f t="shared" si="28"/>
        <v>R181</v>
      </c>
      <c r="G80" s="37" t="str">
        <f t="shared" si="29"/>
        <v xml:space="preserve">1 H2O + 1 Phosphoribosyl-ATP = 1 Phosphoribosyl-AMP + 1 PPi + 1 Proton </v>
      </c>
      <c r="H80" s="37" t="s">
        <v>1027</v>
      </c>
      <c r="I80" s="37" t="s">
        <v>1028</v>
      </c>
      <c r="J80" s="37" t="str">
        <f t="shared" si="30"/>
        <v>0</v>
      </c>
      <c r="K80" s="37" t="s">
        <v>195</v>
      </c>
      <c r="L80" s="37">
        <v>0</v>
      </c>
      <c r="M80" s="37">
        <v>0</v>
      </c>
      <c r="N80" s="37">
        <v>1</v>
      </c>
      <c r="O80" s="37">
        <v>1</v>
      </c>
      <c r="P80" s="37">
        <v>0</v>
      </c>
      <c r="Q80" s="37">
        <v>0.01</v>
      </c>
      <c r="AE80" t="str">
        <f t="shared" si="31"/>
        <v>1;1</v>
      </c>
    </row>
    <row r="81" spans="1:34" x14ac:dyDescent="0.25">
      <c r="A81" t="str">
        <f>Master!A183</f>
        <v>R183</v>
      </c>
      <c r="B81" t="str">
        <f>Master!C183</f>
        <v xml:space="preserve">1 H2O + 1 Phosphoribosyl-AMP = 1 phosphoribosylformiminoaicar-phosphate </v>
      </c>
      <c r="C81" t="str">
        <f>Master!F183</f>
        <v>N</v>
      </c>
      <c r="D81">
        <f>Master!M183</f>
        <v>1</v>
      </c>
      <c r="F81" s="37" t="str">
        <f t="shared" si="28"/>
        <v>R183</v>
      </c>
      <c r="G81" s="37" t="str">
        <f t="shared" si="29"/>
        <v xml:space="preserve">1 H2O + 1 Phosphoribosyl-AMP = 1 phosphoribosylformiminoaicar-phosphate </v>
      </c>
      <c r="H81" s="37" t="s">
        <v>1027</v>
      </c>
      <c r="I81" s="37" t="s">
        <v>1028</v>
      </c>
      <c r="J81" s="37" t="str">
        <f t="shared" si="30"/>
        <v>0</v>
      </c>
      <c r="K81" s="37" t="s">
        <v>195</v>
      </c>
      <c r="L81" s="37">
        <v>0</v>
      </c>
      <c r="M81" s="37">
        <v>0</v>
      </c>
      <c r="N81" s="37">
        <v>1</v>
      </c>
      <c r="O81" s="37">
        <v>1</v>
      </c>
      <c r="P81" s="37">
        <v>0</v>
      </c>
      <c r="Q81" s="37">
        <v>0.01</v>
      </c>
      <c r="AE81" t="str">
        <f t="shared" si="31"/>
        <v>1;1</v>
      </c>
      <c r="AF81" t="str">
        <f>CONCATENATE(AE81,$E$1,AE83)</f>
        <v>1;1;1;1</v>
      </c>
      <c r="AG81" t="str">
        <f>CONCATENATE(AF81,$E$1,AF85)</f>
        <v>1;1;1;1;1;1;1;1</v>
      </c>
      <c r="AH81" t="str">
        <f>CONCATENATE(AG81,$E$1,AG89)</f>
        <v>1;1;1;1;1;1;1;1;1;1;1;1;1;1;1;1</v>
      </c>
    </row>
    <row r="82" spans="1:34" x14ac:dyDescent="0.25">
      <c r="A82" t="str">
        <f>Master!A185</f>
        <v>R185</v>
      </c>
      <c r="B82" t="str">
        <f>Master!C185</f>
        <v xml:space="preserve">1 phosphoribosylformiminoaicar-phosphate = 1 phosphoribulosylformimino-AICAR-phosphate </v>
      </c>
      <c r="C82" t="str">
        <f>Master!F185</f>
        <v>Y</v>
      </c>
      <c r="D82">
        <f>Master!M185</f>
        <v>1</v>
      </c>
      <c r="F82" s="37" t="str">
        <f t="shared" si="28"/>
        <v>R185</v>
      </c>
      <c r="G82" s="37" t="str">
        <f t="shared" si="29"/>
        <v xml:space="preserve">1 phosphoribosylformiminoaicar-phosphate = 1 phosphoribulosylformimino-AICAR-phosphate </v>
      </c>
      <c r="H82" s="37" t="s">
        <v>1027</v>
      </c>
      <c r="I82" s="37" t="s">
        <v>1028</v>
      </c>
      <c r="J82" s="37" t="str">
        <f t="shared" si="30"/>
        <v>-inf</v>
      </c>
      <c r="K82" s="37" t="s">
        <v>195</v>
      </c>
      <c r="L82" s="37">
        <v>0</v>
      </c>
      <c r="M82" s="37">
        <v>0</v>
      </c>
      <c r="N82" s="37">
        <v>1</v>
      </c>
      <c r="O82" s="37">
        <v>1</v>
      </c>
      <c r="P82" s="37">
        <v>0</v>
      </c>
      <c r="Q82" s="37">
        <v>0.01</v>
      </c>
      <c r="AE82" t="str">
        <f t="shared" si="31"/>
        <v>1;1</v>
      </c>
    </row>
    <row r="83" spans="1:34" x14ac:dyDescent="0.25">
      <c r="A83" t="str">
        <f>Master!A187</f>
        <v>R187</v>
      </c>
      <c r="B83" t="str">
        <f>Master!C187</f>
        <v xml:space="preserve">1 L-Glutamine + 1 phosphoribulosylformimino-AICAR-phosphate = 1 AICAR + 1 D-erythro-imidazol-glycerol-phosphate + 1 L-Glutamate + 1 Proton </v>
      </c>
      <c r="C83" t="str">
        <f>Master!F187</f>
        <v>N</v>
      </c>
      <c r="D83">
        <f>Master!M187</f>
        <v>1</v>
      </c>
      <c r="F83" s="37" t="str">
        <f t="shared" si="28"/>
        <v>R187</v>
      </c>
      <c r="G83" s="37" t="str">
        <f t="shared" si="29"/>
        <v xml:space="preserve">1 L-Glutamine + 1 phosphoribulosylformimino-AICAR-phosphate = 1 AICAR + 1 D-erythro-imidazol-glycerol-phosphate + 1 L-Glutamate + 1 Proton </v>
      </c>
      <c r="H83" s="37" t="s">
        <v>1027</v>
      </c>
      <c r="I83" s="37" t="s">
        <v>1028</v>
      </c>
      <c r="J83" s="37" t="str">
        <f t="shared" si="30"/>
        <v>0</v>
      </c>
      <c r="K83" s="37" t="s">
        <v>195</v>
      </c>
      <c r="L83" s="37">
        <v>0</v>
      </c>
      <c r="M83" s="37">
        <v>0</v>
      </c>
      <c r="N83" s="37">
        <v>1</v>
      </c>
      <c r="O83" s="37">
        <v>1</v>
      </c>
      <c r="P83" s="37">
        <v>0</v>
      </c>
      <c r="Q83" s="37">
        <v>0.01</v>
      </c>
      <c r="AE83" t="str">
        <f t="shared" si="31"/>
        <v>1;1</v>
      </c>
    </row>
    <row r="84" spans="1:34" x14ac:dyDescent="0.25">
      <c r="A84" t="str">
        <f>Master!A190</f>
        <v>R190</v>
      </c>
      <c r="B84" t="str">
        <f>Master!C190</f>
        <v xml:space="preserve">1 D-erythro-imidazol-glycerol-phosphate = 1 H2O + 1 imidazole-acetol-phosphate </v>
      </c>
      <c r="C84" t="str">
        <f>Master!F190</f>
        <v>N</v>
      </c>
      <c r="D84">
        <f>Master!M190</f>
        <v>1</v>
      </c>
      <c r="F84" s="37" t="str">
        <f t="shared" si="28"/>
        <v>R190</v>
      </c>
      <c r="G84" s="37" t="str">
        <f t="shared" si="29"/>
        <v xml:space="preserve">1 D-erythro-imidazol-glycerol-phosphate = 1 H2O + 1 imidazole-acetol-phosphate </v>
      </c>
      <c r="H84" s="37" t="s">
        <v>1027</v>
      </c>
      <c r="I84" s="37" t="s">
        <v>1028</v>
      </c>
      <c r="J84" s="37" t="str">
        <f t="shared" si="30"/>
        <v>0</v>
      </c>
      <c r="K84" s="37" t="s">
        <v>195</v>
      </c>
      <c r="L84" s="37">
        <v>0</v>
      </c>
      <c r="M84" s="37">
        <v>0</v>
      </c>
      <c r="N84" s="37">
        <v>1</v>
      </c>
      <c r="O84" s="37">
        <v>1</v>
      </c>
      <c r="P84" s="37">
        <v>0</v>
      </c>
      <c r="Q84" s="37">
        <v>0.01</v>
      </c>
      <c r="AE84" t="str">
        <f t="shared" si="31"/>
        <v>1;1</v>
      </c>
    </row>
    <row r="85" spans="1:34" x14ac:dyDescent="0.25">
      <c r="A85" t="str">
        <f>Master!A192</f>
        <v>R192</v>
      </c>
      <c r="B85" t="str">
        <f>Master!C192</f>
        <v xml:space="preserve">1 imidazole-acetol-phosphate + 1 L-Glutamate = 1 2-Oxoglutarate + 1 L-histidinol-phosphate </v>
      </c>
      <c r="C85" t="str">
        <f>Master!F192</f>
        <v>Y</v>
      </c>
      <c r="D85">
        <f>Master!M192</f>
        <v>1</v>
      </c>
      <c r="F85" s="37" t="str">
        <f t="shared" si="28"/>
        <v>R192</v>
      </c>
      <c r="G85" s="37" t="str">
        <f t="shared" si="29"/>
        <v xml:space="preserve">1 imidazole-acetol-phosphate + 1 L-Glutamate = 1 2-Oxoglutarate + 1 L-histidinol-phosphate </v>
      </c>
      <c r="H85" s="37" t="s">
        <v>1027</v>
      </c>
      <c r="I85" s="37" t="s">
        <v>1028</v>
      </c>
      <c r="J85" s="37" t="str">
        <f t="shared" si="30"/>
        <v>-inf</v>
      </c>
      <c r="K85" s="37" t="s">
        <v>195</v>
      </c>
      <c r="L85" s="37">
        <v>0</v>
      </c>
      <c r="M85" s="37">
        <v>0</v>
      </c>
      <c r="N85" s="37">
        <v>1</v>
      </c>
      <c r="O85" s="37">
        <v>1</v>
      </c>
      <c r="P85" s="37">
        <v>0</v>
      </c>
      <c r="Q85" s="37">
        <v>0.01</v>
      </c>
      <c r="AE85" t="str">
        <f t="shared" si="31"/>
        <v>1;1</v>
      </c>
      <c r="AF85" t="str">
        <f t="shared" si="32"/>
        <v>1;1;1;1</v>
      </c>
    </row>
    <row r="86" spans="1:34" x14ac:dyDescent="0.25">
      <c r="A86" t="str">
        <f>Master!A194</f>
        <v>R194</v>
      </c>
      <c r="B86" t="str">
        <f>Master!C194</f>
        <v xml:space="preserve">1 H2O + 1 L-histidinol-phosphate = 1 L-Histidinol + 1 Phosphate </v>
      </c>
      <c r="C86" t="str">
        <f>Master!F194</f>
        <v>N</v>
      </c>
      <c r="D86">
        <f>Master!M194</f>
        <v>1</v>
      </c>
      <c r="F86" s="37" t="str">
        <f t="shared" si="28"/>
        <v>R194</v>
      </c>
      <c r="G86" s="37" t="str">
        <f t="shared" si="29"/>
        <v xml:space="preserve">1 H2O + 1 L-histidinol-phosphate = 1 L-Histidinol + 1 Phosphate </v>
      </c>
      <c r="H86" s="37" t="s">
        <v>1027</v>
      </c>
      <c r="I86" s="37" t="s">
        <v>1028</v>
      </c>
      <c r="J86" s="37" t="str">
        <f t="shared" si="30"/>
        <v>0</v>
      </c>
      <c r="K86" s="37" t="s">
        <v>195</v>
      </c>
      <c r="L86" s="37">
        <v>0</v>
      </c>
      <c r="M86" s="37">
        <v>0</v>
      </c>
      <c r="N86" s="37">
        <v>1</v>
      </c>
      <c r="O86" s="37">
        <v>1</v>
      </c>
      <c r="P86" s="37">
        <v>0</v>
      </c>
      <c r="Q86" s="37">
        <v>0.01</v>
      </c>
      <c r="AE86" t="str">
        <f t="shared" si="31"/>
        <v>1;1</v>
      </c>
    </row>
    <row r="87" spans="1:34" x14ac:dyDescent="0.25">
      <c r="A87" t="str">
        <f>Master!A196</f>
        <v>R196</v>
      </c>
      <c r="B87" t="str">
        <f>Master!C196</f>
        <v xml:space="preserve">1 L-Histidinol + 1 NAD = 1 L-Histidinal + 1 NADH + 1 Proton </v>
      </c>
      <c r="C87" t="str">
        <f>Master!F196</f>
        <v>N</v>
      </c>
      <c r="D87">
        <f>Master!M196</f>
        <v>1</v>
      </c>
      <c r="F87" s="37" t="str">
        <f t="shared" si="28"/>
        <v>R196</v>
      </c>
      <c r="G87" s="37" t="str">
        <f t="shared" si="29"/>
        <v xml:space="preserve">1 L-Histidinol + 1 NAD = 1 L-Histidinal + 1 NADH + 1 Proton </v>
      </c>
      <c r="H87" s="37" t="s">
        <v>1027</v>
      </c>
      <c r="I87" s="37" t="s">
        <v>1028</v>
      </c>
      <c r="J87" s="37" t="str">
        <f t="shared" si="30"/>
        <v>0</v>
      </c>
      <c r="K87" s="37" t="s">
        <v>195</v>
      </c>
      <c r="L87" s="37">
        <v>0</v>
      </c>
      <c r="M87" s="37">
        <v>0</v>
      </c>
      <c r="N87" s="37">
        <v>1</v>
      </c>
      <c r="O87" s="37">
        <v>1</v>
      </c>
      <c r="P87" s="37">
        <v>0</v>
      </c>
      <c r="Q87" s="37">
        <v>0.01</v>
      </c>
      <c r="AE87" t="str">
        <f t="shared" si="31"/>
        <v>1;1</v>
      </c>
    </row>
    <row r="88" spans="1:34" x14ac:dyDescent="0.25">
      <c r="A88" t="str">
        <f>Master!A198</f>
        <v>R198</v>
      </c>
      <c r="B88" t="str">
        <f>Master!C198</f>
        <v xml:space="preserve">1 H2O + 1 L-Histidinal + 1 NAD = 1 L-Histidine + 1 NADH + 2 Proton </v>
      </c>
      <c r="C88" t="str">
        <f>Master!F198</f>
        <v>N</v>
      </c>
      <c r="D88">
        <f>Master!M198</f>
        <v>1</v>
      </c>
      <c r="F88" s="37" t="str">
        <f t="shared" si="28"/>
        <v>R198</v>
      </c>
      <c r="G88" s="37" t="str">
        <f t="shared" si="29"/>
        <v xml:space="preserve">1 H2O + 1 L-Histidinal + 1 NAD = 1 L-Histidine + 1 NADH + 2 Proton </v>
      </c>
      <c r="H88" s="37" t="s">
        <v>1027</v>
      </c>
      <c r="I88" s="37" t="s">
        <v>1028</v>
      </c>
      <c r="J88" s="37" t="str">
        <f t="shared" si="30"/>
        <v>0</v>
      </c>
      <c r="K88" s="37" t="s">
        <v>195</v>
      </c>
      <c r="L88" s="37">
        <v>0</v>
      </c>
      <c r="M88" s="37">
        <v>0</v>
      </c>
      <c r="N88" s="37">
        <v>1</v>
      </c>
      <c r="O88" s="37">
        <v>1</v>
      </c>
      <c r="P88" s="37">
        <v>0</v>
      </c>
      <c r="Q88" s="37">
        <v>0.01</v>
      </c>
      <c r="AE88" t="str">
        <f t="shared" si="31"/>
        <v>1;1</v>
      </c>
    </row>
    <row r="89" spans="1:34" x14ac:dyDescent="0.25">
      <c r="A89" t="str">
        <f>Master!A200</f>
        <v>R200</v>
      </c>
      <c r="B89" t="str">
        <f>Master!C200</f>
        <v xml:space="preserve">1 L-Aspartate4-semialdehyde + 1 Pyruvate = 1 Dihydrodipicolinate + 2 H2O + 1 Proton </v>
      </c>
      <c r="C89" t="str">
        <f>Master!F200</f>
        <v>N</v>
      </c>
      <c r="D89">
        <f>Master!M200</f>
        <v>1</v>
      </c>
      <c r="F89" s="37" t="str">
        <f t="shared" si="28"/>
        <v>R200</v>
      </c>
      <c r="G89" s="37" t="str">
        <f t="shared" si="29"/>
        <v xml:space="preserve">1 L-Aspartate4-semialdehyde + 1 Pyruvate = 1 Dihydrodipicolinate + 2 H2O + 1 Proton </v>
      </c>
      <c r="H89" s="37" t="s">
        <v>1027</v>
      </c>
      <c r="I89" s="37" t="s">
        <v>1028</v>
      </c>
      <c r="J89" s="37" t="str">
        <f t="shared" si="30"/>
        <v>0</v>
      </c>
      <c r="K89" s="37" t="s">
        <v>195</v>
      </c>
      <c r="L89" s="37">
        <v>0</v>
      </c>
      <c r="M89" s="37">
        <v>0</v>
      </c>
      <c r="N89" s="37">
        <v>1</v>
      </c>
      <c r="O89" s="37">
        <v>1</v>
      </c>
      <c r="P89" s="37">
        <v>0</v>
      </c>
      <c r="Q89" s="37">
        <v>0.01</v>
      </c>
      <c r="AE89" t="str">
        <f t="shared" si="31"/>
        <v>1;1</v>
      </c>
      <c r="AF89" t="str">
        <f t="shared" si="32"/>
        <v>1;1;1;1</v>
      </c>
      <c r="AG89" t="str">
        <f t="shared" si="33"/>
        <v>1;1;1;1;1;1;1;1</v>
      </c>
    </row>
    <row r="90" spans="1:34" x14ac:dyDescent="0.25">
      <c r="A90" t="str">
        <f>Master!A203</f>
        <v>R203</v>
      </c>
      <c r="B90" t="str">
        <f>Master!C203</f>
        <v xml:space="preserve">1 Dihydrodipicolinate + 1 NADH + 1 Proton = 1 NAD + 1 tetrahydrodipicolinate </v>
      </c>
      <c r="C90" t="str">
        <f>Master!F203</f>
        <v>N</v>
      </c>
      <c r="D90">
        <f>Master!M203</f>
        <v>1</v>
      </c>
      <c r="F90" s="37" t="str">
        <f t="shared" si="28"/>
        <v>R203</v>
      </c>
      <c r="G90" s="37" t="str">
        <f t="shared" si="29"/>
        <v xml:space="preserve">1 Dihydrodipicolinate + 1 NADH + 1 Proton = 1 NAD + 1 tetrahydrodipicolinate </v>
      </c>
      <c r="H90" s="37" t="s">
        <v>1027</v>
      </c>
      <c r="I90" s="37" t="s">
        <v>1028</v>
      </c>
      <c r="J90" s="37" t="str">
        <f t="shared" si="30"/>
        <v>0</v>
      </c>
      <c r="K90" s="37" t="s">
        <v>195</v>
      </c>
      <c r="L90" s="37">
        <v>0</v>
      </c>
      <c r="M90" s="37">
        <v>0</v>
      </c>
      <c r="N90" s="37">
        <v>1</v>
      </c>
      <c r="O90" s="37">
        <v>1</v>
      </c>
      <c r="P90" s="37">
        <v>0</v>
      </c>
      <c r="Q90" s="37">
        <v>0.01</v>
      </c>
      <c r="AE90" t="str">
        <f t="shared" si="31"/>
        <v>1;1</v>
      </c>
    </row>
    <row r="91" spans="1:34" x14ac:dyDescent="0.25">
      <c r="A91" t="str">
        <f>Master!A205</f>
        <v>R205</v>
      </c>
      <c r="B91" t="str">
        <f>Master!C205</f>
        <v xml:space="preserve">1 H2O + 1 L-Glutamate + 1 Proton + 1 tetrahydrodipicolinate = 1 2-Oxoglutarate + 1 LL-2_6-Diaminopimelate </v>
      </c>
      <c r="C91" t="str">
        <f>Master!F205</f>
        <v>N</v>
      </c>
      <c r="D91">
        <f>Master!M205</f>
        <v>1</v>
      </c>
      <c r="F91" s="37" t="str">
        <f t="shared" si="28"/>
        <v>R205</v>
      </c>
      <c r="G91" s="37" t="str">
        <f t="shared" si="29"/>
        <v xml:space="preserve">1 H2O + 1 L-Glutamate + 1 Proton + 1 tetrahydrodipicolinate = 1 2-Oxoglutarate + 1 LL-2_6-Diaminopimelate </v>
      </c>
      <c r="H91" s="37" t="s">
        <v>1027</v>
      </c>
      <c r="I91" s="37" t="s">
        <v>1028</v>
      </c>
      <c r="J91" s="37" t="str">
        <f t="shared" si="30"/>
        <v>0</v>
      </c>
      <c r="K91" s="37" t="s">
        <v>195</v>
      </c>
      <c r="L91" s="37">
        <v>0</v>
      </c>
      <c r="M91" s="37">
        <v>0</v>
      </c>
      <c r="N91" s="37">
        <v>1</v>
      </c>
      <c r="O91" s="37">
        <v>1</v>
      </c>
      <c r="P91" s="37">
        <v>0</v>
      </c>
      <c r="Q91" s="37">
        <v>0.01</v>
      </c>
      <c r="AE91" t="str">
        <f t="shared" si="31"/>
        <v>1;1</v>
      </c>
    </row>
    <row r="92" spans="1:34" x14ac:dyDescent="0.25">
      <c r="A92" t="str">
        <f>Master!A207</f>
        <v>R207</v>
      </c>
      <c r="B92" t="str">
        <f>Master!C207</f>
        <v xml:space="preserve">1 LL-2_6-Diaminopimelate = 1 meso-2_6-Diaminopimelate </v>
      </c>
      <c r="C92" t="str">
        <f>Master!F207</f>
        <v>N</v>
      </c>
      <c r="D92">
        <f>Master!M207</f>
        <v>1</v>
      </c>
      <c r="F92" s="37" t="str">
        <f t="shared" si="28"/>
        <v>R207</v>
      </c>
      <c r="G92" s="37" t="str">
        <f t="shared" si="29"/>
        <v xml:space="preserve">1 LL-2_6-Diaminopimelate = 1 meso-2_6-Diaminopimelate </v>
      </c>
      <c r="H92" s="37" t="s">
        <v>1027</v>
      </c>
      <c r="I92" s="37" t="s">
        <v>1028</v>
      </c>
      <c r="J92" s="37" t="str">
        <f t="shared" si="30"/>
        <v>0</v>
      </c>
      <c r="K92" s="37" t="s">
        <v>195</v>
      </c>
      <c r="L92" s="37">
        <v>0</v>
      </c>
      <c r="M92" s="37">
        <v>0</v>
      </c>
      <c r="N92" s="37">
        <v>1</v>
      </c>
      <c r="O92" s="37">
        <v>1</v>
      </c>
      <c r="P92" s="37">
        <v>0</v>
      </c>
      <c r="Q92" s="37">
        <v>0.01</v>
      </c>
      <c r="AE92" t="str">
        <f t="shared" si="31"/>
        <v>1;1</v>
      </c>
    </row>
    <row r="93" spans="1:34" x14ac:dyDescent="0.25">
      <c r="A93" t="str">
        <f>Master!A209</f>
        <v>R209</v>
      </c>
      <c r="B93" t="str">
        <f>Master!C209</f>
        <v xml:space="preserve">1 meso-2_6-Diaminopimelate + 1 Proton = 1 CO2 + 1 L-Lysine </v>
      </c>
      <c r="C93" t="str">
        <f>Master!F209</f>
        <v>N</v>
      </c>
      <c r="D93">
        <f>Master!M209</f>
        <v>1</v>
      </c>
      <c r="F93" s="37" t="str">
        <f t="shared" si="28"/>
        <v>R209</v>
      </c>
      <c r="G93" s="37" t="str">
        <f t="shared" si="29"/>
        <v xml:space="preserve">1 meso-2_6-Diaminopimelate + 1 Proton = 1 CO2 + 1 L-Lysine </v>
      </c>
      <c r="H93" s="37" t="s">
        <v>1027</v>
      </c>
      <c r="I93" s="37" t="s">
        <v>1028</v>
      </c>
      <c r="J93" s="37" t="str">
        <f t="shared" si="30"/>
        <v>0</v>
      </c>
      <c r="K93" s="37" t="s">
        <v>195</v>
      </c>
      <c r="L93" s="37">
        <v>0</v>
      </c>
      <c r="M93" s="37">
        <v>0</v>
      </c>
      <c r="N93" s="37">
        <v>1</v>
      </c>
      <c r="O93" s="37">
        <v>1</v>
      </c>
      <c r="P93" s="37">
        <v>0</v>
      </c>
      <c r="Q93" s="37">
        <v>0.01</v>
      </c>
      <c r="AE93" t="str">
        <f t="shared" si="31"/>
        <v>1;1</v>
      </c>
      <c r="AF93" t="str">
        <f t="shared" si="32"/>
        <v>1;1;1;1</v>
      </c>
    </row>
    <row r="94" spans="1:34" x14ac:dyDescent="0.25">
      <c r="A94" t="str">
        <f>Master!A211</f>
        <v>R211</v>
      </c>
      <c r="B94" t="str">
        <f>Master!C211</f>
        <v xml:space="preserve">1 D-Erythrose4-phosphate + 1 H2O + 1 Phosphoenolpyruvate = 1 DAHP + 1 Phosphate </v>
      </c>
      <c r="C94" t="str">
        <f>Master!F211</f>
        <v>N</v>
      </c>
      <c r="D94">
        <f>Master!M211</f>
        <v>1</v>
      </c>
      <c r="F94" s="37" t="str">
        <f t="shared" si="28"/>
        <v>R211</v>
      </c>
      <c r="G94" s="37" t="str">
        <f t="shared" si="29"/>
        <v xml:space="preserve">1 D-Erythrose4-phosphate + 1 H2O + 1 Phosphoenolpyruvate = 1 DAHP + 1 Phosphate </v>
      </c>
      <c r="H94" s="37" t="s">
        <v>1027</v>
      </c>
      <c r="I94" s="37" t="s">
        <v>1028</v>
      </c>
      <c r="J94" s="37" t="str">
        <f t="shared" si="30"/>
        <v>0</v>
      </c>
      <c r="K94" s="37" t="s">
        <v>195</v>
      </c>
      <c r="L94" s="37">
        <v>0</v>
      </c>
      <c r="M94" s="37">
        <v>0</v>
      </c>
      <c r="N94" s="37">
        <v>1</v>
      </c>
      <c r="O94" s="37">
        <v>1</v>
      </c>
      <c r="P94" s="37">
        <v>0</v>
      </c>
      <c r="Q94" s="37">
        <v>0.01</v>
      </c>
      <c r="AE94" t="str">
        <f t="shared" si="31"/>
        <v>1;1</v>
      </c>
    </row>
    <row r="95" spans="1:34" x14ac:dyDescent="0.25">
      <c r="A95" t="str">
        <f>Master!A213</f>
        <v>R213</v>
      </c>
      <c r="B95" t="str">
        <f>Master!C213</f>
        <v xml:space="preserve">1 DAHP = 1 5-Dehydroquinate + 1 Phosphate </v>
      </c>
      <c r="C95" t="str">
        <f>Master!F213</f>
        <v>N</v>
      </c>
      <c r="D95">
        <f>Master!M213</f>
        <v>1</v>
      </c>
      <c r="F95" s="37" t="str">
        <f t="shared" si="28"/>
        <v>R213</v>
      </c>
      <c r="G95" s="37" t="str">
        <f t="shared" si="29"/>
        <v xml:space="preserve">1 DAHP = 1 5-Dehydroquinate + 1 Phosphate </v>
      </c>
      <c r="H95" s="37" t="s">
        <v>1027</v>
      </c>
      <c r="I95" s="37" t="s">
        <v>1028</v>
      </c>
      <c r="J95" s="37" t="str">
        <f t="shared" si="30"/>
        <v>0</v>
      </c>
      <c r="K95" s="37" t="s">
        <v>195</v>
      </c>
      <c r="L95" s="37">
        <v>0</v>
      </c>
      <c r="M95" s="37">
        <v>0</v>
      </c>
      <c r="N95" s="37">
        <v>1</v>
      </c>
      <c r="O95" s="37">
        <v>1</v>
      </c>
      <c r="P95" s="37">
        <v>0</v>
      </c>
      <c r="Q95" s="37">
        <v>0.01</v>
      </c>
      <c r="AE95" t="str">
        <f t="shared" si="31"/>
        <v>1;1</v>
      </c>
    </row>
    <row r="96" spans="1:34" x14ac:dyDescent="0.25">
      <c r="A96" t="str">
        <f>Master!A215</f>
        <v>R215</v>
      </c>
      <c r="B96" t="str">
        <f>Master!C215</f>
        <v xml:space="preserve">1 5-Dehydroquinate = 1 3-Dehydroshikimate + 1 H2O </v>
      </c>
      <c r="C96" t="str">
        <f>Master!F215</f>
        <v>N</v>
      </c>
      <c r="D96">
        <f>Master!M215</f>
        <v>1</v>
      </c>
      <c r="F96" s="37" t="str">
        <f t="shared" si="28"/>
        <v>R215</v>
      </c>
      <c r="G96" s="37" t="str">
        <f t="shared" si="29"/>
        <v xml:space="preserve">1 5-Dehydroquinate = 1 3-Dehydroshikimate + 1 H2O </v>
      </c>
      <c r="H96" s="37" t="s">
        <v>1027</v>
      </c>
      <c r="I96" s="37" t="s">
        <v>1028</v>
      </c>
      <c r="J96" s="37" t="str">
        <f t="shared" si="30"/>
        <v>0</v>
      </c>
      <c r="K96" s="37" t="s">
        <v>195</v>
      </c>
      <c r="L96" s="37">
        <v>0</v>
      </c>
      <c r="M96" s="37">
        <v>0</v>
      </c>
      <c r="N96" s="37">
        <v>1</v>
      </c>
      <c r="O96" s="37">
        <v>1</v>
      </c>
      <c r="P96" s="37">
        <v>0</v>
      </c>
      <c r="Q96" s="37">
        <v>0.01</v>
      </c>
      <c r="AE96" t="str">
        <f t="shared" si="31"/>
        <v>1;1</v>
      </c>
    </row>
    <row r="97" spans="1:35" x14ac:dyDescent="0.25">
      <c r="A97" t="str">
        <f>Master!A217</f>
        <v>R217</v>
      </c>
      <c r="B97" t="str">
        <f>Master!C217</f>
        <v xml:space="preserve">1 3-Dehydroshikimate + 1 NADPH + 1 Proton = 1 NADP + 1 Shikimate </v>
      </c>
      <c r="C97" t="str">
        <f>Master!F217</f>
        <v>N</v>
      </c>
      <c r="D97">
        <f>Master!M217</f>
        <v>1</v>
      </c>
      <c r="F97" s="37" t="str">
        <f t="shared" si="28"/>
        <v>R217</v>
      </c>
      <c r="G97" s="37" t="str">
        <f t="shared" si="29"/>
        <v xml:space="preserve">1 3-Dehydroshikimate + 1 NADPH + 1 Proton = 1 NADP + 1 Shikimate </v>
      </c>
      <c r="H97" s="37" t="s">
        <v>1027</v>
      </c>
      <c r="I97" s="37" t="s">
        <v>1028</v>
      </c>
      <c r="J97" s="37" t="str">
        <f t="shared" si="30"/>
        <v>0</v>
      </c>
      <c r="K97" s="37" t="s">
        <v>195</v>
      </c>
      <c r="L97" s="37">
        <v>0</v>
      </c>
      <c r="M97" s="37">
        <v>0</v>
      </c>
      <c r="N97" s="37">
        <v>1</v>
      </c>
      <c r="O97" s="37">
        <v>1</v>
      </c>
      <c r="P97" s="37">
        <v>0</v>
      </c>
      <c r="Q97" s="37">
        <v>0.01</v>
      </c>
      <c r="AE97" t="str">
        <f t="shared" si="31"/>
        <v>1;1</v>
      </c>
      <c r="AF97" t="str">
        <f>CONCATENATE(AE97,$E$1,AE99)</f>
        <v>1;1;1;1</v>
      </c>
      <c r="AG97" t="str">
        <f>CONCATENATE(AF97,$E$1,AF101)</f>
        <v>1;1;1;1;1;1;1;1</v>
      </c>
      <c r="AH97" t="str">
        <f>CONCATENATE(AG97,$E$1,AG105)</f>
        <v>1;1;1;1;1;1;1;1;1;1;1;1;1;1;1;1</v>
      </c>
      <c r="AI97" t="str">
        <f>CONCATENATE(AH97,$E$1,AH113)</f>
        <v>1;1;1;1;1;1;1;1;1;1;1;1;1;1;1;1;1;1;1;1;1;1;1;1;1;1;1;0;1;1;3;1</v>
      </c>
    </row>
    <row r="98" spans="1:35" x14ac:dyDescent="0.25">
      <c r="A98" t="str">
        <f>Master!A219</f>
        <v>R219</v>
      </c>
      <c r="B98" t="str">
        <f>Master!C219</f>
        <v xml:space="preserve">1 ATP + 1 Shikimate = 1 3-phosphoshikimate + 1 ADP + 1 Proton </v>
      </c>
      <c r="C98" t="str">
        <f>Master!F219</f>
        <v>N</v>
      </c>
      <c r="D98">
        <f>Master!M219</f>
        <v>1</v>
      </c>
      <c r="F98" s="37" t="str">
        <f t="shared" si="28"/>
        <v>R219</v>
      </c>
      <c r="G98" s="37" t="str">
        <f t="shared" si="29"/>
        <v xml:space="preserve">1 ATP + 1 Shikimate = 1 3-phosphoshikimate + 1 ADP + 1 Proton </v>
      </c>
      <c r="H98" s="37" t="s">
        <v>1027</v>
      </c>
      <c r="I98" s="37" t="s">
        <v>1028</v>
      </c>
      <c r="J98" s="37" t="str">
        <f t="shared" si="30"/>
        <v>0</v>
      </c>
      <c r="K98" s="37" t="s">
        <v>195</v>
      </c>
      <c r="L98" s="37">
        <v>0</v>
      </c>
      <c r="M98" s="37">
        <v>0</v>
      </c>
      <c r="N98" s="37">
        <v>1</v>
      </c>
      <c r="O98" s="37">
        <v>1</v>
      </c>
      <c r="P98" s="37">
        <v>0</v>
      </c>
      <c r="Q98" s="37">
        <v>0.01</v>
      </c>
      <c r="AE98" t="str">
        <f t="shared" si="31"/>
        <v>1;1</v>
      </c>
    </row>
    <row r="99" spans="1:35" x14ac:dyDescent="0.25">
      <c r="A99" t="str">
        <f>Master!A221</f>
        <v>R221</v>
      </c>
      <c r="B99" t="str">
        <f>Master!C221</f>
        <v xml:space="preserve">1 3-phosphoshikimate + 1 Phosphoenolpyruvate = 1 5-O--1-Carboxyvinyl-3-phosphoshikimate + 1 Phosphate </v>
      </c>
      <c r="C99" t="str">
        <f>Master!F221</f>
        <v>N</v>
      </c>
      <c r="D99">
        <f>Master!M221</f>
        <v>1</v>
      </c>
      <c r="F99" s="37" t="str">
        <f t="shared" si="28"/>
        <v>R221</v>
      </c>
      <c r="G99" s="37" t="str">
        <f t="shared" si="29"/>
        <v xml:space="preserve">1 3-phosphoshikimate + 1 Phosphoenolpyruvate = 1 5-O--1-Carboxyvinyl-3-phosphoshikimate + 1 Phosphate </v>
      </c>
      <c r="H99" s="37" t="s">
        <v>1027</v>
      </c>
      <c r="I99" s="37" t="s">
        <v>1028</v>
      </c>
      <c r="J99" s="37" t="str">
        <f t="shared" si="30"/>
        <v>0</v>
      </c>
      <c r="K99" s="37" t="s">
        <v>195</v>
      </c>
      <c r="L99" s="37">
        <v>0</v>
      </c>
      <c r="M99" s="37">
        <v>0</v>
      </c>
      <c r="N99" s="37">
        <v>1</v>
      </c>
      <c r="O99" s="37">
        <v>1</v>
      </c>
      <c r="P99" s="37">
        <v>0</v>
      </c>
      <c r="Q99" s="37">
        <v>0.01</v>
      </c>
      <c r="AE99" t="str">
        <f t="shared" si="31"/>
        <v>1;1</v>
      </c>
    </row>
    <row r="100" spans="1:35" x14ac:dyDescent="0.25">
      <c r="A100" t="str">
        <f>Master!A223</f>
        <v>R223</v>
      </c>
      <c r="B100" t="str">
        <f>Master!C223</f>
        <v xml:space="preserve">1 5-O--1-Carboxyvinyl-3-phosphoshikimate = 1 Chorismate + 1 Phosphate </v>
      </c>
      <c r="C100" t="str">
        <f>Master!F223</f>
        <v>N</v>
      </c>
      <c r="D100">
        <f>Master!M223</f>
        <v>1</v>
      </c>
      <c r="F100" s="37" t="str">
        <f t="shared" si="28"/>
        <v>R223</v>
      </c>
      <c r="G100" s="37" t="str">
        <f t="shared" si="29"/>
        <v xml:space="preserve">1 5-O--1-Carboxyvinyl-3-phosphoshikimate = 1 Chorismate + 1 Phosphate </v>
      </c>
      <c r="H100" s="37" t="s">
        <v>1027</v>
      </c>
      <c r="I100" s="37" t="s">
        <v>1028</v>
      </c>
      <c r="J100" s="37" t="str">
        <f t="shared" si="30"/>
        <v>0</v>
      </c>
      <c r="K100" s="37" t="s">
        <v>195</v>
      </c>
      <c r="L100" s="37">
        <v>0</v>
      </c>
      <c r="M100" s="37">
        <v>0</v>
      </c>
      <c r="N100" s="37">
        <v>1</v>
      </c>
      <c r="O100" s="37">
        <v>1</v>
      </c>
      <c r="P100" s="37">
        <v>0</v>
      </c>
      <c r="Q100" s="37">
        <v>0.01</v>
      </c>
      <c r="AE100" t="str">
        <f t="shared" si="31"/>
        <v>1;1</v>
      </c>
    </row>
    <row r="101" spans="1:35" x14ac:dyDescent="0.25">
      <c r="A101" t="str">
        <f>Master!A225</f>
        <v>R225</v>
      </c>
      <c r="B101" t="str">
        <f>Master!C225</f>
        <v xml:space="preserve">1 Chorismate + 1 NH3 = 1 Anthranilate + 1 H2O + 1 Pyruvate </v>
      </c>
      <c r="C101" t="str">
        <f>Master!F225</f>
        <v>N</v>
      </c>
      <c r="D101">
        <f>Master!M225</f>
        <v>1</v>
      </c>
      <c r="F101" s="37" t="str">
        <f t="shared" si="28"/>
        <v>R225</v>
      </c>
      <c r="G101" s="37" t="str">
        <f t="shared" si="29"/>
        <v xml:space="preserve">1 Chorismate + 1 NH3 = 1 Anthranilate + 1 H2O + 1 Pyruvate </v>
      </c>
      <c r="H101" s="37" t="s">
        <v>1027</v>
      </c>
      <c r="I101" s="37" t="s">
        <v>1028</v>
      </c>
      <c r="J101" s="37" t="str">
        <f t="shared" si="30"/>
        <v>0</v>
      </c>
      <c r="K101" s="37" t="s">
        <v>195</v>
      </c>
      <c r="L101" s="37">
        <v>0</v>
      </c>
      <c r="M101" s="37">
        <v>0</v>
      </c>
      <c r="N101" s="37">
        <v>1</v>
      </c>
      <c r="O101" s="37">
        <v>1</v>
      </c>
      <c r="P101" s="37">
        <v>0</v>
      </c>
      <c r="Q101" s="37">
        <v>0.01</v>
      </c>
      <c r="AE101" t="str">
        <f t="shared" si="31"/>
        <v>1;1</v>
      </c>
      <c r="AF101" t="str">
        <f t="shared" si="32"/>
        <v>1;1;1;1</v>
      </c>
    </row>
    <row r="102" spans="1:35" x14ac:dyDescent="0.25">
      <c r="A102" t="str">
        <f>Master!A227</f>
        <v>R227</v>
      </c>
      <c r="B102" t="str">
        <f>Master!C227</f>
        <v xml:space="preserve">1 Anthranilate + 1 PRPP = 1 N-5-phosphoribosyl-anthranilate + 1 PPi </v>
      </c>
      <c r="C102" t="str">
        <f>Master!F227</f>
        <v>N</v>
      </c>
      <c r="D102">
        <f>Master!M227</f>
        <v>1</v>
      </c>
      <c r="F102" s="37" t="str">
        <f t="shared" si="28"/>
        <v>R227</v>
      </c>
      <c r="G102" s="37" t="str">
        <f t="shared" si="29"/>
        <v xml:space="preserve">1 Anthranilate + 1 PRPP = 1 N-5-phosphoribosyl-anthranilate + 1 PPi </v>
      </c>
      <c r="H102" s="37" t="s">
        <v>1027</v>
      </c>
      <c r="I102" s="37" t="s">
        <v>1028</v>
      </c>
      <c r="J102" s="37" t="str">
        <f t="shared" si="30"/>
        <v>0</v>
      </c>
      <c r="K102" s="37" t="s">
        <v>195</v>
      </c>
      <c r="L102" s="37">
        <v>0</v>
      </c>
      <c r="M102" s="37">
        <v>0</v>
      </c>
      <c r="N102" s="37">
        <v>1</v>
      </c>
      <c r="O102" s="37">
        <v>1</v>
      </c>
      <c r="P102" s="37">
        <v>0</v>
      </c>
      <c r="Q102" s="37">
        <v>0.01</v>
      </c>
      <c r="AE102" t="str">
        <f t="shared" si="31"/>
        <v>1;1</v>
      </c>
    </row>
    <row r="103" spans="1:35" x14ac:dyDescent="0.25">
      <c r="A103" t="str">
        <f>Master!A229</f>
        <v>R229</v>
      </c>
      <c r="B103" t="str">
        <f>Master!C229</f>
        <v xml:space="preserve">1 N-5-phosphoribosyl-anthranilate = 1 1-2-carboxyphenylamino-1-deoxyribulose-5-phosphate </v>
      </c>
      <c r="C103" t="str">
        <f>Master!F229</f>
        <v>N</v>
      </c>
      <c r="D103">
        <f>Master!M229</f>
        <v>1</v>
      </c>
      <c r="F103" s="37" t="str">
        <f t="shared" si="28"/>
        <v>R229</v>
      </c>
      <c r="G103" s="37" t="str">
        <f t="shared" si="29"/>
        <v xml:space="preserve">1 N-5-phosphoribosyl-anthranilate = 1 1-2-carboxyphenylamino-1-deoxyribulose-5-phosphate </v>
      </c>
      <c r="H103" s="37" t="s">
        <v>1027</v>
      </c>
      <c r="I103" s="37" t="s">
        <v>1028</v>
      </c>
      <c r="J103" s="37" t="str">
        <f t="shared" si="30"/>
        <v>0</v>
      </c>
      <c r="K103" s="37" t="s">
        <v>195</v>
      </c>
      <c r="L103" s="37">
        <v>0</v>
      </c>
      <c r="M103" s="37">
        <v>0</v>
      </c>
      <c r="N103" s="37">
        <v>1</v>
      </c>
      <c r="O103" s="37">
        <v>1</v>
      </c>
      <c r="P103" s="37">
        <v>0</v>
      </c>
      <c r="Q103" s="37">
        <v>0.01</v>
      </c>
      <c r="AE103" t="str">
        <f t="shared" si="31"/>
        <v>1;1</v>
      </c>
    </row>
    <row r="104" spans="1:35" x14ac:dyDescent="0.25">
      <c r="A104" t="str">
        <f>Master!A231</f>
        <v>R231</v>
      </c>
      <c r="B104" t="str">
        <f>Master!C231</f>
        <v xml:space="preserve">1 1-2-carboxyphenylamino-1-deoxyribulose-5-phosphate + 1 Proton = 1 CO2 + 1 H2O + 1 Indoleglycerol-phosphate </v>
      </c>
      <c r="C104" t="str">
        <f>Master!F231</f>
        <v>N</v>
      </c>
      <c r="D104">
        <f>Master!M231</f>
        <v>1</v>
      </c>
      <c r="F104" s="37" t="str">
        <f t="shared" si="28"/>
        <v>R231</v>
      </c>
      <c r="G104" s="37" t="str">
        <f t="shared" si="29"/>
        <v xml:space="preserve">1 1-2-carboxyphenylamino-1-deoxyribulose-5-phosphate + 1 Proton = 1 CO2 + 1 H2O + 1 Indoleglycerol-phosphate </v>
      </c>
      <c r="H104" s="37" t="s">
        <v>1027</v>
      </c>
      <c r="I104" s="37" t="s">
        <v>1028</v>
      </c>
      <c r="J104" s="37" t="str">
        <f t="shared" si="30"/>
        <v>0</v>
      </c>
      <c r="K104" s="37" t="s">
        <v>195</v>
      </c>
      <c r="L104" s="37">
        <v>0</v>
      </c>
      <c r="M104" s="37">
        <v>0</v>
      </c>
      <c r="N104" s="37">
        <v>1</v>
      </c>
      <c r="O104" s="37">
        <v>1</v>
      </c>
      <c r="P104" s="37">
        <v>0</v>
      </c>
      <c r="Q104" s="37">
        <v>0.01</v>
      </c>
      <c r="AE104" t="str">
        <f t="shared" si="31"/>
        <v>1;1</v>
      </c>
    </row>
    <row r="105" spans="1:35" x14ac:dyDescent="0.25">
      <c r="A105" t="str">
        <f>Master!A233</f>
        <v>R233</v>
      </c>
      <c r="B105" t="str">
        <f>Master!C233</f>
        <v xml:space="preserve">1 Indoleglycerol-phosphate = 1 Glyceraldehyde3-phosphate + 1 indol </v>
      </c>
      <c r="C105" t="str">
        <f>Master!F233</f>
        <v>N</v>
      </c>
      <c r="D105">
        <f>Master!M233</f>
        <v>1</v>
      </c>
      <c r="F105" s="37" t="str">
        <f t="shared" si="28"/>
        <v>R233</v>
      </c>
      <c r="G105" s="37" t="str">
        <f t="shared" si="29"/>
        <v xml:space="preserve">1 Indoleglycerol-phosphate = 1 Glyceraldehyde3-phosphate + 1 indol </v>
      </c>
      <c r="H105" s="37" t="s">
        <v>1027</v>
      </c>
      <c r="I105" s="37" t="s">
        <v>1028</v>
      </c>
      <c r="J105" s="37" t="str">
        <f t="shared" si="30"/>
        <v>0</v>
      </c>
      <c r="K105" s="37" t="s">
        <v>195</v>
      </c>
      <c r="L105" s="37">
        <v>0</v>
      </c>
      <c r="M105" s="37">
        <v>0</v>
      </c>
      <c r="N105" s="37">
        <v>1</v>
      </c>
      <c r="O105" s="37">
        <v>1</v>
      </c>
      <c r="P105" s="37">
        <v>0</v>
      </c>
      <c r="Q105" s="37">
        <v>0.01</v>
      </c>
      <c r="AE105" t="str">
        <f t="shared" si="31"/>
        <v>1;1</v>
      </c>
      <c r="AF105" t="str">
        <f t="shared" si="32"/>
        <v>1;1;1;1</v>
      </c>
      <c r="AG105" t="str">
        <f t="shared" si="33"/>
        <v>1;1;1;1;1;1;1;1</v>
      </c>
    </row>
    <row r="106" spans="1:35" x14ac:dyDescent="0.25">
      <c r="A106" t="str">
        <f>Master!A235</f>
        <v>R235</v>
      </c>
      <c r="B106" t="str">
        <f>Master!C235</f>
        <v xml:space="preserve">1 indol + 1 L-Serine = 1 H2O + 1 L-Tryptophan </v>
      </c>
      <c r="C106" t="str">
        <f>Master!F235</f>
        <v>N</v>
      </c>
      <c r="D106">
        <f>Master!M235</f>
        <v>1</v>
      </c>
      <c r="F106" s="37" t="str">
        <f t="shared" si="28"/>
        <v>R235</v>
      </c>
      <c r="G106" s="37" t="str">
        <f t="shared" si="29"/>
        <v xml:space="preserve">1 indol + 1 L-Serine = 1 H2O + 1 L-Tryptophan </v>
      </c>
      <c r="H106" s="37" t="s">
        <v>1027</v>
      </c>
      <c r="I106" s="37" t="s">
        <v>1028</v>
      </c>
      <c r="J106" s="37" t="str">
        <f t="shared" si="30"/>
        <v>0</v>
      </c>
      <c r="K106" s="37" t="s">
        <v>195</v>
      </c>
      <c r="L106" s="37">
        <v>0</v>
      </c>
      <c r="M106" s="37">
        <v>0</v>
      </c>
      <c r="N106" s="37">
        <v>1</v>
      </c>
      <c r="O106" s="37">
        <v>1</v>
      </c>
      <c r="P106" s="37">
        <v>0</v>
      </c>
      <c r="Q106" s="37">
        <v>0.01</v>
      </c>
      <c r="AE106" t="str">
        <f t="shared" si="31"/>
        <v>1;1</v>
      </c>
    </row>
    <row r="107" spans="1:35" x14ac:dyDescent="0.25">
      <c r="A107" t="str">
        <f>Master!A238</f>
        <v>R238</v>
      </c>
      <c r="B107" t="str">
        <f>Master!C238</f>
        <v xml:space="preserve">1 Chorismate = 1 Prephenate </v>
      </c>
      <c r="C107" t="str">
        <f>Master!F238</f>
        <v>N</v>
      </c>
      <c r="D107">
        <f>Master!M238</f>
        <v>1</v>
      </c>
      <c r="F107" s="37" t="str">
        <f t="shared" si="28"/>
        <v>R238</v>
      </c>
      <c r="G107" s="37" t="str">
        <f t="shared" si="29"/>
        <v xml:space="preserve">1 Chorismate = 1 Prephenate </v>
      </c>
      <c r="H107" s="37" t="s">
        <v>1027</v>
      </c>
      <c r="I107" s="37" t="s">
        <v>1028</v>
      </c>
      <c r="J107" s="37" t="str">
        <f t="shared" si="30"/>
        <v>0</v>
      </c>
      <c r="K107" s="37" t="s">
        <v>195</v>
      </c>
      <c r="L107" s="37">
        <v>0</v>
      </c>
      <c r="M107" s="37">
        <v>0</v>
      </c>
      <c r="N107" s="37">
        <v>1</v>
      </c>
      <c r="O107" s="37">
        <v>1</v>
      </c>
      <c r="P107" s="37">
        <v>0</v>
      </c>
      <c r="Q107" s="37">
        <v>0.01</v>
      </c>
      <c r="AE107" t="str">
        <f t="shared" si="31"/>
        <v>1;1</v>
      </c>
    </row>
    <row r="108" spans="1:35" x14ac:dyDescent="0.25">
      <c r="A108" t="str">
        <f>Master!A240</f>
        <v>R240</v>
      </c>
      <c r="B108" t="str">
        <f>Master!C240</f>
        <v xml:space="preserve">1 Prephenate + 1 Proton = 1 CO2 + 1 H2O + 1 Phenylpyruvate </v>
      </c>
      <c r="C108" t="str">
        <f>Master!F240</f>
        <v>N</v>
      </c>
      <c r="D108">
        <f>Master!M240</f>
        <v>1</v>
      </c>
      <c r="F108" s="37" t="str">
        <f t="shared" si="28"/>
        <v>R240</v>
      </c>
      <c r="G108" s="37" t="str">
        <f t="shared" si="29"/>
        <v xml:space="preserve">1 Prephenate + 1 Proton = 1 CO2 + 1 H2O + 1 Phenylpyruvate </v>
      </c>
      <c r="H108" s="37" t="s">
        <v>1027</v>
      </c>
      <c r="I108" s="37" t="s">
        <v>1028</v>
      </c>
      <c r="J108" s="37" t="str">
        <f t="shared" si="30"/>
        <v>0</v>
      </c>
      <c r="K108" s="37" t="s">
        <v>195</v>
      </c>
      <c r="L108" s="37">
        <v>0</v>
      </c>
      <c r="M108" s="37">
        <v>0</v>
      </c>
      <c r="N108" s="37">
        <v>1</v>
      </c>
      <c r="O108" s="37">
        <v>1</v>
      </c>
      <c r="P108" s="37">
        <v>0</v>
      </c>
      <c r="Q108" s="37">
        <v>0.01</v>
      </c>
      <c r="AE108" t="str">
        <f t="shared" si="31"/>
        <v>1;1</v>
      </c>
    </row>
    <row r="109" spans="1:35" x14ac:dyDescent="0.25">
      <c r="A109" t="str">
        <f>Master!A242</f>
        <v>R242</v>
      </c>
      <c r="B109" t="str">
        <f>Master!C242</f>
        <v xml:space="preserve">1 L-Glutamate + 1 Phenylpyruvate = 1 2-Oxoglutarate + 1 L-Phenylalanine </v>
      </c>
      <c r="C109" t="str">
        <f>Master!F242</f>
        <v>Y</v>
      </c>
      <c r="D109">
        <f>Master!M242</f>
        <v>1</v>
      </c>
      <c r="F109" s="37" t="str">
        <f t="shared" si="28"/>
        <v>R242</v>
      </c>
      <c r="G109" s="37" t="str">
        <f t="shared" si="29"/>
        <v xml:space="preserve">1 L-Glutamate + 1 Phenylpyruvate = 1 2-Oxoglutarate + 1 L-Phenylalanine </v>
      </c>
      <c r="H109" s="37" t="s">
        <v>1027</v>
      </c>
      <c r="I109" s="37" t="s">
        <v>1028</v>
      </c>
      <c r="J109" s="37" t="str">
        <f t="shared" si="30"/>
        <v>-inf</v>
      </c>
      <c r="K109" s="37" t="s">
        <v>195</v>
      </c>
      <c r="L109" s="37">
        <v>0</v>
      </c>
      <c r="M109" s="37">
        <v>0</v>
      </c>
      <c r="N109" s="37">
        <v>1</v>
      </c>
      <c r="O109" s="37">
        <v>1</v>
      </c>
      <c r="P109" s="37">
        <v>0</v>
      </c>
      <c r="Q109" s="37">
        <v>0.01</v>
      </c>
      <c r="AE109" t="str">
        <f t="shared" si="31"/>
        <v>1;1</v>
      </c>
      <c r="AF109" t="str">
        <f t="shared" si="32"/>
        <v>1;1;1;1</v>
      </c>
    </row>
    <row r="110" spans="1:35" x14ac:dyDescent="0.25">
      <c r="A110" t="str">
        <f>Master!A245</f>
        <v>R245</v>
      </c>
      <c r="B110" t="str">
        <f>Master!C245</f>
        <v xml:space="preserve">1 NAD + 1 Prephenate = 1 CO2 + 1 NADH + 1 p-hydroxyphenylpyruvate </v>
      </c>
      <c r="C110" t="str">
        <f>Master!F245</f>
        <v>N</v>
      </c>
      <c r="D110">
        <f>Master!M245</f>
        <v>1</v>
      </c>
      <c r="F110" s="37" t="str">
        <f t="shared" si="28"/>
        <v>R245</v>
      </c>
      <c r="G110" s="37" t="str">
        <f t="shared" si="29"/>
        <v xml:space="preserve">1 NAD + 1 Prephenate = 1 CO2 + 1 NADH + 1 p-hydroxyphenylpyruvate </v>
      </c>
      <c r="H110" s="37" t="s">
        <v>1027</v>
      </c>
      <c r="I110" s="37" t="s">
        <v>1028</v>
      </c>
      <c r="J110" s="37" t="str">
        <f t="shared" si="30"/>
        <v>0</v>
      </c>
      <c r="K110" s="37" t="s">
        <v>195</v>
      </c>
      <c r="L110" s="37">
        <v>0</v>
      </c>
      <c r="M110" s="37">
        <v>0</v>
      </c>
      <c r="N110" s="37">
        <v>1</v>
      </c>
      <c r="O110" s="37">
        <v>1</v>
      </c>
      <c r="P110" s="37">
        <v>0</v>
      </c>
      <c r="Q110" s="37">
        <v>0.01</v>
      </c>
      <c r="AE110" t="str">
        <f t="shared" si="31"/>
        <v>1;1</v>
      </c>
    </row>
    <row r="111" spans="1:35" x14ac:dyDescent="0.25">
      <c r="A111" t="str">
        <f>Master!A247</f>
        <v>R247</v>
      </c>
      <c r="B111" t="str">
        <f>Master!C247</f>
        <v xml:space="preserve">1 L-Glutamate + 1 p-hydroxyphenylpyruvate = 1 2-Oxoglutarate + 1 L-Tyrosine </v>
      </c>
      <c r="C111" t="str">
        <f>Master!F247</f>
        <v>Y</v>
      </c>
      <c r="D111">
        <f>Master!M247</f>
        <v>1</v>
      </c>
      <c r="F111" s="37" t="str">
        <f t="shared" si="28"/>
        <v>R247</v>
      </c>
      <c r="G111" s="37" t="str">
        <f t="shared" si="29"/>
        <v xml:space="preserve">1 L-Glutamate + 1 p-hydroxyphenylpyruvate = 1 2-Oxoglutarate + 1 L-Tyrosine </v>
      </c>
      <c r="H111" s="37" t="s">
        <v>1027</v>
      </c>
      <c r="I111" s="37" t="s">
        <v>1028</v>
      </c>
      <c r="J111" s="37" t="str">
        <f t="shared" si="30"/>
        <v>-inf</v>
      </c>
      <c r="K111" s="37" t="s">
        <v>195</v>
      </c>
      <c r="L111" s="37">
        <v>0</v>
      </c>
      <c r="M111" s="37">
        <v>0</v>
      </c>
      <c r="N111" s="37">
        <v>1</v>
      </c>
      <c r="O111" s="37">
        <v>1</v>
      </c>
      <c r="P111" s="37">
        <v>0</v>
      </c>
      <c r="Q111" s="37">
        <v>0.01</v>
      </c>
      <c r="AE111" t="str">
        <f t="shared" si="31"/>
        <v>1;1</v>
      </c>
    </row>
    <row r="112" spans="1:35" x14ac:dyDescent="0.25">
      <c r="A112" t="str">
        <f>Master!A250</f>
        <v>R250</v>
      </c>
      <c r="B112" t="str">
        <f>Master!C250</f>
        <v xml:space="preserve">1 2-Hydroxyethyl-ThPP + 1 2-Oxobutyrate = 1 2-Aceto-2-hydroxybutanoate + 1 TPP </v>
      </c>
      <c r="C112" t="str">
        <f>Master!F250</f>
        <v>N</v>
      </c>
      <c r="D112">
        <f>Master!M250</f>
        <v>1</v>
      </c>
      <c r="F112" s="37" t="str">
        <f t="shared" si="28"/>
        <v>R250</v>
      </c>
      <c r="G112" s="37" t="str">
        <f t="shared" si="29"/>
        <v xml:space="preserve">1 2-Hydroxyethyl-ThPP + 1 2-Oxobutyrate = 1 2-Aceto-2-hydroxybutanoate + 1 TPP </v>
      </c>
      <c r="H112" s="37" t="s">
        <v>1027</v>
      </c>
      <c r="I112" s="37" t="s">
        <v>1028</v>
      </c>
      <c r="J112" s="37" t="str">
        <f t="shared" si="30"/>
        <v>0</v>
      </c>
      <c r="K112" s="37" t="s">
        <v>195</v>
      </c>
      <c r="L112" s="37">
        <v>0</v>
      </c>
      <c r="M112" s="37">
        <v>0</v>
      </c>
      <c r="N112" s="37">
        <v>1</v>
      </c>
      <c r="O112" s="37">
        <v>1</v>
      </c>
      <c r="P112" s="37">
        <v>0</v>
      </c>
      <c r="Q112" s="37">
        <v>0.01</v>
      </c>
      <c r="AE112" t="str">
        <f t="shared" si="31"/>
        <v>1;1</v>
      </c>
    </row>
    <row r="113" spans="1:34" x14ac:dyDescent="0.25">
      <c r="A113" t="str">
        <f>Master!A254</f>
        <v>R254</v>
      </c>
      <c r="B113" t="str">
        <f>Master!C254</f>
        <v xml:space="preserve">1 2-Aceto-2-hydroxybutanoate + 1 NADPH + 1 Proton = 1 2_3-Dihydroxy-3-methylvalerate + 1 NADP </v>
      </c>
      <c r="C113" t="str">
        <f>Master!F254</f>
        <v>N</v>
      </c>
      <c r="D113">
        <f>Master!M254</f>
        <v>1</v>
      </c>
      <c r="F113" s="37" t="str">
        <f t="shared" si="28"/>
        <v>R254</v>
      </c>
      <c r="G113" s="37" t="str">
        <f t="shared" si="29"/>
        <v xml:space="preserve">1 2-Aceto-2-hydroxybutanoate + 1 NADPH + 1 Proton = 1 2_3-Dihydroxy-3-methylvalerate + 1 NADP </v>
      </c>
      <c r="H113" s="37" t="s">
        <v>1027</v>
      </c>
      <c r="I113" s="37" t="s">
        <v>1028</v>
      </c>
      <c r="J113" s="37" t="str">
        <f t="shared" si="30"/>
        <v>0</v>
      </c>
      <c r="K113" s="37" t="s">
        <v>195</v>
      </c>
      <c r="L113" s="37">
        <v>0</v>
      </c>
      <c r="M113" s="37">
        <v>0</v>
      </c>
      <c r="N113" s="37">
        <v>1</v>
      </c>
      <c r="O113" s="37">
        <v>1</v>
      </c>
      <c r="P113" s="37">
        <v>0</v>
      </c>
      <c r="Q113" s="37">
        <v>0.01</v>
      </c>
      <c r="AE113" t="str">
        <f t="shared" si="31"/>
        <v>1;1</v>
      </c>
      <c r="AF113" t="str">
        <f>CONCATENATE(AE113,$E$1,AE115)</f>
        <v>1;1;1;1</v>
      </c>
      <c r="AG113" t="str">
        <f>CONCATENATE(AF113,$E$1,AF117)</f>
        <v>1;1;1;1;1;1;1;1</v>
      </c>
      <c r="AH113" t="str">
        <f>CONCATENATE(AG113,$E$1,AG121)</f>
        <v>1;1;1;1;1;1;1;1;1;1;1;0;1;1;3;1</v>
      </c>
    </row>
    <row r="114" spans="1:34" x14ac:dyDescent="0.25">
      <c r="A114" t="str">
        <f>Master!A256</f>
        <v>R256</v>
      </c>
      <c r="B114" t="str">
        <f>Master!C256</f>
        <v xml:space="preserve">1 2_3-Dihydroxy-3-methylvalerate = 1 3MOP + 1 H2O </v>
      </c>
      <c r="C114" t="str">
        <f>Master!F256</f>
        <v>N</v>
      </c>
      <c r="D114">
        <f>Master!M256</f>
        <v>1</v>
      </c>
      <c r="F114" s="37" t="str">
        <f t="shared" si="28"/>
        <v>R256</v>
      </c>
      <c r="G114" s="37" t="str">
        <f t="shared" si="29"/>
        <v xml:space="preserve">1 2_3-Dihydroxy-3-methylvalerate = 1 3MOP + 1 H2O </v>
      </c>
      <c r="H114" s="37" t="s">
        <v>1027</v>
      </c>
      <c r="I114" s="37" t="s">
        <v>1028</v>
      </c>
      <c r="J114" s="37" t="str">
        <f t="shared" si="30"/>
        <v>0</v>
      </c>
      <c r="K114" s="37" t="s">
        <v>195</v>
      </c>
      <c r="L114" s="37">
        <v>0</v>
      </c>
      <c r="M114" s="37">
        <v>0</v>
      </c>
      <c r="N114" s="37">
        <v>1</v>
      </c>
      <c r="O114" s="37">
        <v>1</v>
      </c>
      <c r="P114" s="37">
        <v>0</v>
      </c>
      <c r="Q114" s="37">
        <v>0.01</v>
      </c>
      <c r="AE114" t="str">
        <f t="shared" si="31"/>
        <v>1;1</v>
      </c>
    </row>
    <row r="115" spans="1:34" x14ac:dyDescent="0.25">
      <c r="A115" t="str">
        <f>Master!A258</f>
        <v>R258</v>
      </c>
      <c r="B115" t="str">
        <f>Master!C258</f>
        <v xml:space="preserve">1 3MOP + 1 NADH + 1 NH3 + 2 Proton = 1 H2O + 1 L-Isoleucine + 1 NAD </v>
      </c>
      <c r="C115" t="str">
        <f>Master!F258</f>
        <v>Y</v>
      </c>
      <c r="D115">
        <f>Master!M258</f>
        <v>1</v>
      </c>
      <c r="F115" s="37" t="str">
        <f t="shared" si="28"/>
        <v>R258</v>
      </c>
      <c r="G115" s="37" t="str">
        <f t="shared" si="29"/>
        <v xml:space="preserve">1 3MOP + 1 NADH + 1 NH3 + 2 Proton = 1 H2O + 1 L-Isoleucine + 1 NAD </v>
      </c>
      <c r="H115" s="37" t="s">
        <v>1027</v>
      </c>
      <c r="I115" s="37" t="s">
        <v>1028</v>
      </c>
      <c r="J115" s="37" t="str">
        <f t="shared" si="30"/>
        <v>-inf</v>
      </c>
      <c r="K115" s="37" t="s">
        <v>195</v>
      </c>
      <c r="L115" s="37">
        <v>0</v>
      </c>
      <c r="M115" s="37">
        <v>0</v>
      </c>
      <c r="N115" s="37">
        <v>1</v>
      </c>
      <c r="O115" s="37">
        <v>1</v>
      </c>
      <c r="P115" s="37">
        <v>0</v>
      </c>
      <c r="Q115" s="37">
        <v>0.01</v>
      </c>
      <c r="AE115" t="str">
        <f t="shared" si="31"/>
        <v>1;1</v>
      </c>
    </row>
    <row r="116" spans="1:34" x14ac:dyDescent="0.25">
      <c r="A116" t="str">
        <f>Master!A262</f>
        <v>R262</v>
      </c>
      <c r="B116" t="str">
        <f>Master!C262</f>
        <v xml:space="preserve">1 2-Hydroxyethyl-ThPP + 1 Pyruvate = 1 ALCTT + 1 TPP </v>
      </c>
      <c r="C116" t="str">
        <f>Master!F262</f>
        <v>N</v>
      </c>
      <c r="D116">
        <f>Master!M262</f>
        <v>1</v>
      </c>
      <c r="F116" s="37" t="str">
        <f t="shared" si="28"/>
        <v>R262</v>
      </c>
      <c r="G116" s="37" t="str">
        <f t="shared" si="29"/>
        <v xml:space="preserve">1 2-Hydroxyethyl-ThPP + 1 Pyruvate = 1 ALCTT + 1 TPP </v>
      </c>
      <c r="H116" s="37" t="s">
        <v>1027</v>
      </c>
      <c r="I116" s="37" t="s">
        <v>1028</v>
      </c>
      <c r="J116" s="37" t="str">
        <f t="shared" si="30"/>
        <v>0</v>
      </c>
      <c r="K116" s="37" t="s">
        <v>195</v>
      </c>
      <c r="L116" s="37">
        <v>0</v>
      </c>
      <c r="M116" s="37">
        <v>0</v>
      </c>
      <c r="N116" s="37">
        <v>1</v>
      </c>
      <c r="O116" s="37">
        <v>1</v>
      </c>
      <c r="P116" s="37">
        <v>0</v>
      </c>
      <c r="Q116" s="37">
        <v>0.01</v>
      </c>
      <c r="AE116" t="str">
        <f t="shared" si="31"/>
        <v>1;1</v>
      </c>
    </row>
    <row r="117" spans="1:34" x14ac:dyDescent="0.25">
      <c r="A117" t="str">
        <f>Master!A266</f>
        <v>R266</v>
      </c>
      <c r="B117" t="str">
        <f>Master!C266</f>
        <v xml:space="preserve">1 ALCTT + 1 NADPH + 1 Proton = 1 2_3-Dihydroxy-isovalerate + 1 NADP </v>
      </c>
      <c r="C117" t="str">
        <f>Master!F266</f>
        <v>N</v>
      </c>
      <c r="D117">
        <f>Master!M266</f>
        <v>1</v>
      </c>
      <c r="F117" s="37" t="str">
        <f t="shared" si="28"/>
        <v>R266</v>
      </c>
      <c r="G117" s="37" t="str">
        <f t="shared" si="29"/>
        <v xml:space="preserve">1 ALCTT + 1 NADPH + 1 Proton = 1 2_3-Dihydroxy-isovalerate + 1 NADP </v>
      </c>
      <c r="H117" s="37" t="s">
        <v>1027</v>
      </c>
      <c r="I117" s="37" t="s">
        <v>1028</v>
      </c>
      <c r="J117" s="37" t="str">
        <f t="shared" si="30"/>
        <v>0</v>
      </c>
      <c r="K117" s="37" t="s">
        <v>195</v>
      </c>
      <c r="L117" s="37">
        <v>0</v>
      </c>
      <c r="M117" s="37">
        <v>0</v>
      </c>
      <c r="N117" s="37">
        <v>1</v>
      </c>
      <c r="O117" s="37">
        <v>1</v>
      </c>
      <c r="P117" s="37">
        <v>0</v>
      </c>
      <c r="Q117" s="37">
        <v>0.01</v>
      </c>
      <c r="AE117" t="str">
        <f t="shared" si="31"/>
        <v>1;1</v>
      </c>
      <c r="AF117" t="str">
        <f t="shared" si="32"/>
        <v>1;1;1;1</v>
      </c>
    </row>
    <row r="118" spans="1:34" x14ac:dyDescent="0.25">
      <c r="A118" t="str">
        <f>Master!A268</f>
        <v>R268</v>
      </c>
      <c r="B118" t="str">
        <f>Master!C268</f>
        <v xml:space="preserve">1 2_3-Dihydroxy-isovalerate = 1 3-Methyl-2-oxobutanoate + 1 H2O </v>
      </c>
      <c r="C118" t="str">
        <f>Master!F268</f>
        <v>N</v>
      </c>
      <c r="D118">
        <f>Master!M268</f>
        <v>1</v>
      </c>
      <c r="F118" s="37" t="str">
        <f t="shared" si="28"/>
        <v>R268</v>
      </c>
      <c r="G118" s="37" t="str">
        <f t="shared" si="29"/>
        <v xml:space="preserve">1 2_3-Dihydroxy-isovalerate = 1 3-Methyl-2-oxobutanoate + 1 H2O </v>
      </c>
      <c r="H118" s="37" t="s">
        <v>1027</v>
      </c>
      <c r="I118" s="37" t="s">
        <v>1028</v>
      </c>
      <c r="J118" s="37" t="str">
        <f t="shared" si="30"/>
        <v>0</v>
      </c>
      <c r="K118" s="37" t="s">
        <v>195</v>
      </c>
      <c r="L118" s="37">
        <v>0</v>
      </c>
      <c r="M118" s="37">
        <v>0</v>
      </c>
      <c r="N118" s="37">
        <v>1</v>
      </c>
      <c r="O118" s="37">
        <v>1</v>
      </c>
      <c r="P118" s="37">
        <v>0</v>
      </c>
      <c r="Q118" s="37">
        <v>0.01</v>
      </c>
      <c r="AE118" t="str">
        <f t="shared" si="31"/>
        <v>1;1</v>
      </c>
    </row>
    <row r="119" spans="1:34" x14ac:dyDescent="0.25">
      <c r="A119" t="str">
        <f>Master!A270</f>
        <v>R270</v>
      </c>
      <c r="B119" t="str">
        <f>Master!C270</f>
        <v xml:space="preserve">1 3-Methyl-2-oxobutanoate + 1 NADH + 1 NH3 + 2 Proton = 1 H2O + 1 L-Valine + 1 NAD </v>
      </c>
      <c r="C119" t="str">
        <f>Master!F270</f>
        <v>Y</v>
      </c>
      <c r="D119">
        <f>Master!M270</f>
        <v>1</v>
      </c>
      <c r="F119" s="37" t="str">
        <f t="shared" si="28"/>
        <v>R270</v>
      </c>
      <c r="G119" s="37" t="str">
        <f t="shared" si="29"/>
        <v xml:space="preserve">1 3-Methyl-2-oxobutanoate + 1 NADH + 1 NH3 + 2 Proton = 1 H2O + 1 L-Valine + 1 NAD </v>
      </c>
      <c r="H119" s="37" t="s">
        <v>1027</v>
      </c>
      <c r="I119" s="37" t="s">
        <v>1028</v>
      </c>
      <c r="J119" s="37" t="str">
        <f t="shared" si="30"/>
        <v>-inf</v>
      </c>
      <c r="K119" s="37" t="s">
        <v>195</v>
      </c>
      <c r="L119" s="37">
        <v>0</v>
      </c>
      <c r="M119" s="37">
        <v>0</v>
      </c>
      <c r="N119" s="37">
        <v>1</v>
      </c>
      <c r="O119" s="37">
        <v>1</v>
      </c>
      <c r="P119" s="37">
        <v>0</v>
      </c>
      <c r="Q119" s="37">
        <v>0.01</v>
      </c>
      <c r="AE119" t="str">
        <f t="shared" si="31"/>
        <v>1;1</v>
      </c>
    </row>
    <row r="120" spans="1:34" x14ac:dyDescent="0.25">
      <c r="A120" t="str">
        <f>Master!A274</f>
        <v>R274</v>
      </c>
      <c r="B120" t="str">
        <f>Master!C274</f>
        <v xml:space="preserve">1 3-Methyl-2-oxobutanoate + 1 Acetyl-CoA + 1 H2O = 1 2-Isopropylmalate + 1 CoA + 1 Proton </v>
      </c>
      <c r="C120" t="str">
        <f>Master!F274</f>
        <v>N</v>
      </c>
      <c r="D120">
        <f>Master!M274</f>
        <v>1</v>
      </c>
      <c r="F120" s="37" t="str">
        <f t="shared" si="28"/>
        <v>R274</v>
      </c>
      <c r="G120" s="37" t="str">
        <f t="shared" si="29"/>
        <v xml:space="preserve">1 3-Methyl-2-oxobutanoate + 1 Acetyl-CoA + 1 H2O = 1 2-Isopropylmalate + 1 CoA + 1 Proton </v>
      </c>
      <c r="H120" s="37" t="s">
        <v>1027</v>
      </c>
      <c r="I120" s="37" t="s">
        <v>1028</v>
      </c>
      <c r="J120" s="37" t="str">
        <f t="shared" si="30"/>
        <v>0</v>
      </c>
      <c r="K120" s="37" t="s">
        <v>195</v>
      </c>
      <c r="L120" s="37">
        <v>0</v>
      </c>
      <c r="M120" s="37">
        <v>0</v>
      </c>
      <c r="N120" s="37">
        <v>1</v>
      </c>
      <c r="O120" s="37">
        <v>1</v>
      </c>
      <c r="P120" s="37">
        <v>0</v>
      </c>
      <c r="Q120" s="37">
        <v>0.01</v>
      </c>
      <c r="AE120" t="str">
        <f t="shared" si="31"/>
        <v>1;1</v>
      </c>
    </row>
    <row r="121" spans="1:34" x14ac:dyDescent="0.25">
      <c r="A121" t="str">
        <f>Master!A277</f>
        <v>R277</v>
      </c>
      <c r="B121" t="str">
        <f>Master!C277</f>
        <v xml:space="preserve">1 2-Isopropylmalate = 1 2-Isopropylmaleate + 1 H2O </v>
      </c>
      <c r="C121" t="str">
        <f>Master!F277</f>
        <v>N</v>
      </c>
      <c r="D121">
        <f>Master!M277</f>
        <v>1</v>
      </c>
      <c r="F121" s="37" t="str">
        <f t="shared" si="28"/>
        <v>R277</v>
      </c>
      <c r="G121" s="37" t="str">
        <f t="shared" si="29"/>
        <v xml:space="preserve">1 2-Isopropylmalate = 1 2-Isopropylmaleate + 1 H2O </v>
      </c>
      <c r="H121" s="37" t="s">
        <v>1027</v>
      </c>
      <c r="I121" s="37" t="s">
        <v>1028</v>
      </c>
      <c r="J121" s="37" t="str">
        <f t="shared" si="30"/>
        <v>0</v>
      </c>
      <c r="K121" s="37" t="s">
        <v>195</v>
      </c>
      <c r="L121" s="37">
        <v>0</v>
      </c>
      <c r="M121" s="37">
        <v>0</v>
      </c>
      <c r="N121" s="37">
        <v>1</v>
      </c>
      <c r="O121" s="37">
        <v>1</v>
      </c>
      <c r="P121" s="37">
        <v>0</v>
      </c>
      <c r="Q121" s="37">
        <v>0.01</v>
      </c>
      <c r="AE121" t="str">
        <f t="shared" si="31"/>
        <v>1;1</v>
      </c>
      <c r="AF121" t="str">
        <f t="shared" si="32"/>
        <v>1;1;1;0</v>
      </c>
      <c r="AG121" t="str">
        <f t="shared" ref="AG121" si="34">CONCATENATE(AF121,$E$1,AF125)</f>
        <v>1;1;1;0;1;1;3;1</v>
      </c>
    </row>
    <row r="122" spans="1:34" x14ac:dyDescent="0.25">
      <c r="A122" t="str">
        <f>Master!A278</f>
        <v>R278</v>
      </c>
      <c r="B122" t="str">
        <f>Master!C278</f>
        <v xml:space="preserve">1 2-Isopropylmaleate + 1 H2O = 1 3-Isopropylmalate </v>
      </c>
      <c r="C122" t="str">
        <f>Master!F278</f>
        <v>N</v>
      </c>
      <c r="D122">
        <f>Master!M278</f>
        <v>1</v>
      </c>
      <c r="F122" s="37" t="str">
        <f t="shared" si="28"/>
        <v>R278</v>
      </c>
      <c r="G122" s="37" t="str">
        <f t="shared" si="29"/>
        <v xml:space="preserve">1 2-Isopropylmaleate + 1 H2O = 1 3-Isopropylmalate </v>
      </c>
      <c r="H122" s="37" t="s">
        <v>1027</v>
      </c>
      <c r="I122" s="37" t="s">
        <v>1028</v>
      </c>
      <c r="J122" s="37" t="str">
        <f t="shared" si="30"/>
        <v>0</v>
      </c>
      <c r="K122" s="37" t="s">
        <v>195</v>
      </c>
      <c r="L122" s="37">
        <v>0</v>
      </c>
      <c r="M122" s="37">
        <v>0</v>
      </c>
      <c r="N122" s="37">
        <v>1</v>
      </c>
      <c r="O122" s="37">
        <v>1</v>
      </c>
      <c r="P122" s="37">
        <v>0</v>
      </c>
      <c r="Q122" s="37">
        <v>0.01</v>
      </c>
      <c r="AE122" t="str">
        <f t="shared" si="31"/>
        <v>1;1</v>
      </c>
    </row>
    <row r="123" spans="1:34" x14ac:dyDescent="0.25">
      <c r="A123" t="str">
        <f>Master!A280</f>
        <v>R280</v>
      </c>
      <c r="B123" t="str">
        <f>Master!C280</f>
        <v xml:space="preserve">1 3-Isopropylmalate + 1 NAD = 1 2-isopropyl-3-oxosuccinate + 1 NADH + 1 Proton </v>
      </c>
      <c r="C123" t="str">
        <f>Master!F280</f>
        <v>N</v>
      </c>
      <c r="D123">
        <f>Master!M280</f>
        <v>1</v>
      </c>
      <c r="F123" s="37" t="str">
        <f t="shared" si="28"/>
        <v>R280</v>
      </c>
      <c r="G123" s="37" t="str">
        <f t="shared" si="29"/>
        <v xml:space="preserve">1 3-Isopropylmalate + 1 NAD = 1 2-isopropyl-3-oxosuccinate + 1 NADH + 1 Proton </v>
      </c>
      <c r="H123" s="37" t="s">
        <v>1027</v>
      </c>
      <c r="I123" s="37" t="s">
        <v>1028</v>
      </c>
      <c r="J123" s="37" t="str">
        <f t="shared" si="30"/>
        <v>0</v>
      </c>
      <c r="K123" s="37" t="s">
        <v>195</v>
      </c>
      <c r="L123" s="37">
        <v>0</v>
      </c>
      <c r="M123" s="37">
        <v>0</v>
      </c>
      <c r="N123" s="37">
        <v>1</v>
      </c>
      <c r="O123" s="37">
        <v>1</v>
      </c>
      <c r="P123" s="37">
        <v>0</v>
      </c>
      <c r="Q123" s="37">
        <v>0.01</v>
      </c>
      <c r="AE123" t="str">
        <f t="shared" si="31"/>
        <v>1;0</v>
      </c>
    </row>
    <row r="124" spans="1:34" x14ac:dyDescent="0.25">
      <c r="A124" t="str">
        <f>Master!A282</f>
        <v>R282</v>
      </c>
      <c r="B124" t="str">
        <f>Master!C282</f>
        <v xml:space="preserve">1 2-isopropyl-3-oxosuccinate + 1 Proton = 1 4MOP + 1 CO2 </v>
      </c>
      <c r="C124" t="str">
        <f>Master!F282</f>
        <v>N</v>
      </c>
      <c r="D124">
        <f>Master!M282</f>
        <v>0</v>
      </c>
      <c r="F124" s="37" t="str">
        <f t="shared" si="28"/>
        <v>R282</v>
      </c>
      <c r="G124" s="37" t="str">
        <f t="shared" si="29"/>
        <v xml:space="preserve">1 2-isopropyl-3-oxosuccinate + 1 Proton = 1 4MOP + 1 CO2 </v>
      </c>
      <c r="H124" s="37" t="s">
        <v>1027</v>
      </c>
      <c r="I124" s="37" t="s">
        <v>1028</v>
      </c>
      <c r="J124" s="37" t="str">
        <f t="shared" si="30"/>
        <v>0</v>
      </c>
      <c r="K124" s="37" t="s">
        <v>195</v>
      </c>
      <c r="L124" s="37">
        <v>0</v>
      </c>
      <c r="M124" s="37">
        <v>0</v>
      </c>
      <c r="N124" s="37">
        <v>1</v>
      </c>
      <c r="O124" s="37">
        <v>1</v>
      </c>
      <c r="P124" s="37">
        <v>0</v>
      </c>
      <c r="Q124" s="37">
        <v>0.01</v>
      </c>
      <c r="AE124" t="str">
        <f t="shared" si="31"/>
        <v>0;1</v>
      </c>
    </row>
    <row r="125" spans="1:34" x14ac:dyDescent="0.25">
      <c r="A125" t="str">
        <f>Master!A284</f>
        <v>R284</v>
      </c>
      <c r="B125" t="str">
        <f>Master!C284</f>
        <v xml:space="preserve">1 4MOP + 1 NADH + 1 NH3 + 2 Proton = 1 H2O + 1 L-Leucine + 1 NAD </v>
      </c>
      <c r="C125" t="str">
        <f>Master!F284</f>
        <v>Y</v>
      </c>
      <c r="D125">
        <f>Master!M284</f>
        <v>1</v>
      </c>
      <c r="F125" s="37" t="str">
        <f t="shared" si="28"/>
        <v>R284</v>
      </c>
      <c r="G125" s="37" t="str">
        <f t="shared" si="29"/>
        <v xml:space="preserve">1 4MOP + 1 NADH + 1 NH3 + 2 Proton = 1 H2O + 1 L-Leucine + 1 NAD </v>
      </c>
      <c r="H125" s="37" t="s">
        <v>1027</v>
      </c>
      <c r="I125" s="37" t="s">
        <v>1028</v>
      </c>
      <c r="J125" s="37" t="str">
        <f t="shared" si="30"/>
        <v>-inf</v>
      </c>
      <c r="K125" s="37" t="s">
        <v>195</v>
      </c>
      <c r="L125" s="37">
        <v>0</v>
      </c>
      <c r="M125" s="37">
        <v>0</v>
      </c>
      <c r="N125" s="37">
        <v>1</v>
      </c>
      <c r="O125" s="37">
        <v>1</v>
      </c>
      <c r="P125" s="37">
        <v>0</v>
      </c>
      <c r="Q125" s="37">
        <v>0.01</v>
      </c>
      <c r="AE125" t="str">
        <f t="shared" si="31"/>
        <v>1;1</v>
      </c>
      <c r="AF125" t="str">
        <f t="shared" si="32"/>
        <v>1;1;3;1</v>
      </c>
    </row>
    <row r="126" spans="1:34" x14ac:dyDescent="0.25">
      <c r="A126" t="str">
        <f>Master!A288</f>
        <v>R288</v>
      </c>
      <c r="B126" t="str">
        <f>Master!C288</f>
        <v xml:space="preserve">1 ATP + 1 L-Glutamate + 1 NH3 = 1 ADP + 1 L-Glutamine + 1 Phosphate </v>
      </c>
      <c r="C126" t="str">
        <f>Master!F288</f>
        <v>N</v>
      </c>
      <c r="D126">
        <f>Master!M288</f>
        <v>1</v>
      </c>
      <c r="F126" s="37" t="str">
        <f t="shared" si="28"/>
        <v>R288</v>
      </c>
      <c r="G126" s="37" t="str">
        <f t="shared" si="29"/>
        <v xml:space="preserve">1 ATP + 1 L-Glutamate + 1 NH3 = 1 ADP + 1 L-Glutamine + 1 Phosphate </v>
      </c>
      <c r="H126" s="37" t="s">
        <v>1027</v>
      </c>
      <c r="I126" s="37" t="s">
        <v>1028</v>
      </c>
      <c r="J126" s="37" t="str">
        <f t="shared" si="30"/>
        <v>0</v>
      </c>
      <c r="K126" s="37" t="s">
        <v>195</v>
      </c>
      <c r="L126" s="37">
        <v>0</v>
      </c>
      <c r="M126" s="37">
        <v>0</v>
      </c>
      <c r="N126" s="37">
        <v>1</v>
      </c>
      <c r="O126" s="37">
        <v>1</v>
      </c>
      <c r="P126" s="37">
        <v>0</v>
      </c>
      <c r="Q126" s="37">
        <v>0.01</v>
      </c>
      <c r="AE126" t="str">
        <f t="shared" si="31"/>
        <v>1;3</v>
      </c>
    </row>
    <row r="127" spans="1:34" x14ac:dyDescent="0.25">
      <c r="A127" t="str">
        <f>Master!A290</f>
        <v>R290</v>
      </c>
      <c r="B127" t="str">
        <f>Master!C290</f>
        <v xml:space="preserve">2 ATP + 2 H2O + 1 L-Aspartate + 1 L-Glutamine = 1 ADP + 1 AMP + 1 L-Asparagine + 1 L-Glutamate + 1 Phosphate + 1 PPi + 2 Proton </v>
      </c>
      <c r="C127" t="str">
        <f>Master!F290</f>
        <v>N</v>
      </c>
      <c r="D127">
        <f>Master!M290</f>
        <v>3</v>
      </c>
      <c r="F127" s="37" t="str">
        <f t="shared" si="28"/>
        <v>R290</v>
      </c>
      <c r="G127" s="37" t="str">
        <f t="shared" si="29"/>
        <v xml:space="preserve">2 ATP + 2 H2O + 1 L-Aspartate + 1 L-Glutamine = 1 ADP + 1 AMP + 1 L-Asparagine + 1 L-Glutamate + 1 Phosphate + 1 PPi + 2 Proton </v>
      </c>
      <c r="H127" s="37" t="s">
        <v>1027</v>
      </c>
      <c r="I127" s="37" t="s">
        <v>1028</v>
      </c>
      <c r="J127" s="37" t="str">
        <f t="shared" si="30"/>
        <v>0</v>
      </c>
      <c r="K127" s="37" t="s">
        <v>195</v>
      </c>
      <c r="L127" s="37">
        <v>0</v>
      </c>
      <c r="M127" s="37">
        <v>0</v>
      </c>
      <c r="N127" s="37">
        <v>1</v>
      </c>
      <c r="O127" s="37">
        <v>1</v>
      </c>
      <c r="P127" s="37">
        <v>0</v>
      </c>
      <c r="Q127" s="37">
        <v>0.01</v>
      </c>
      <c r="AE127" t="str">
        <f t="shared" si="31"/>
        <v>3;1</v>
      </c>
    </row>
    <row r="128" spans="1:34" x14ac:dyDescent="0.25">
      <c r="A128" t="str">
        <f>Master!A294</f>
        <v>R294</v>
      </c>
      <c r="B128" t="str">
        <f>Master!C294</f>
        <v>L-Arginine + H2O = Ornithine + urea</v>
      </c>
      <c r="C128" t="str">
        <f>Master!F294</f>
        <v>N</v>
      </c>
      <c r="D128">
        <f>Master!M294</f>
        <v>1</v>
      </c>
      <c r="F128" s="37" t="str">
        <f t="shared" si="28"/>
        <v>R294</v>
      </c>
      <c r="G128" s="37" t="str">
        <f t="shared" si="29"/>
        <v>L-Arginine + H2O = Ornithine + urea</v>
      </c>
      <c r="H128" s="37" t="s">
        <v>1027</v>
      </c>
      <c r="I128" s="37" t="s">
        <v>1028</v>
      </c>
      <c r="J128" s="37" t="str">
        <f t="shared" si="30"/>
        <v>0</v>
      </c>
      <c r="K128" s="37" t="s">
        <v>195</v>
      </c>
      <c r="L128" s="37">
        <v>0</v>
      </c>
      <c r="M128" s="37">
        <v>0</v>
      </c>
      <c r="N128" s="37">
        <v>1</v>
      </c>
      <c r="O128" s="37">
        <v>1</v>
      </c>
      <c r="P128" s="37">
        <v>0</v>
      </c>
      <c r="Q128" s="37">
        <v>0.01</v>
      </c>
      <c r="AE128" t="str">
        <f t="shared" si="31"/>
        <v>1;1</v>
      </c>
    </row>
    <row r="129" spans="1:37" x14ac:dyDescent="0.25">
      <c r="A129" t="str">
        <f>Master!A296</f>
        <v>R296</v>
      </c>
      <c r="B129" t="str">
        <f>Master!C296</f>
        <v>1 Ornithine  = 1 L-Proline + 1 NH3 + 1 Proton</v>
      </c>
      <c r="C129" t="str">
        <f>Master!F296</f>
        <v>N</v>
      </c>
      <c r="D129">
        <f>Master!M296</f>
        <v>1</v>
      </c>
      <c r="F129" s="37" t="str">
        <f t="shared" ref="F129:F192" si="35">A129</f>
        <v>R296</v>
      </c>
      <c r="G129" s="37" t="str">
        <f t="shared" ref="G129:G192" si="36">B129</f>
        <v>1 Ornithine  = 1 L-Proline + 1 NH3 + 1 Proton</v>
      </c>
      <c r="H129" s="37" t="s">
        <v>1027</v>
      </c>
      <c r="I129" s="37" t="s">
        <v>1028</v>
      </c>
      <c r="J129" s="37" t="str">
        <f t="shared" ref="J129:J192" si="37">IF(EXACT(C129,"Y"),"-inf","0")</f>
        <v>0</v>
      </c>
      <c r="K129" s="37" t="s">
        <v>195</v>
      </c>
      <c r="L129" s="37">
        <v>0</v>
      </c>
      <c r="M129" s="37">
        <v>0</v>
      </c>
      <c r="N129" s="37">
        <v>1</v>
      </c>
      <c r="O129" s="37">
        <v>1</v>
      </c>
      <c r="P129" s="37">
        <v>0</v>
      </c>
      <c r="Q129" s="37">
        <v>0.01</v>
      </c>
      <c r="AE129" t="str">
        <f t="shared" si="31"/>
        <v>1;3</v>
      </c>
      <c r="AF129" t="str">
        <f>CONCATENATE(AE129,$E$1,AE131)</f>
        <v>1;3;1;1</v>
      </c>
      <c r="AG129" t="str">
        <f>CONCATENATE(AF129,$E$1,AF133)</f>
        <v>1;3;1;1;1;5;1;3</v>
      </c>
      <c r="AH129" t="str">
        <f>CONCATENATE(AG129,$E$1,AG137)</f>
        <v>1;3;1;1;1;5;1;3;1;5;5;4;3;1;1;1</v>
      </c>
      <c r="AI129" t="str">
        <f>CONCATENATE(AH129,$E$1,AH145)</f>
        <v>1;3;1;1;1;5;1;3;1;5;5;4;3;1;1;1;1;3;12;8;1;1;3;1;1;1;1;1;1;1;1;1</v>
      </c>
      <c r="AJ129" t="str">
        <f>CONCATENATE(AI129,$E$1,AI161)</f>
        <v>1;3;1;1;1;5;1;3;1;5;5;4;3;1;1;1;1;3;12;8;1;1;3;1;1;1;1;1;1;1;1;1;1;1;1;1;1;1;1;1;1;1;1;1;1;1;1;1;1;1;1;4;4;1;1;1;1;1;1;1;1;1;1;1</v>
      </c>
      <c r="AK129" t="str">
        <f>CONCATENATE(AJ129,$E$1,AJ193)</f>
        <v>1;3;1;1;1;5;1;3;1;5;5;4;3;1;1;1;1;3;12;8;1;1;3;1;1;1;1;1;1;1;1;1;1;1;1;1;1;1;1;1;1;1;1;1;1;1;1;1;1;1;1;4;4;1;1;1;1;1;1;1;1;1;1;1;1;1;1;1;1;1;1;1;1;1;1;1;1;1;1;1;1;1;1;1;1;1;1;1;4;3;7;1;1;6;2;0;0;0;0;1;1;1;1;1;1;1;1;1;1;1;1;1;0;1;1;1;1;1;1;1;1;1;1;1;1;1;1;1</v>
      </c>
    </row>
    <row r="130" spans="1:37" x14ac:dyDescent="0.25">
      <c r="A130" t="str">
        <f>Master!A298</f>
        <v>R298</v>
      </c>
      <c r="B130" t="str">
        <f>Master!C298</f>
        <v xml:space="preserve">1 H2O + 1 L-Asparagine = 1 L-Aspartate + 1 NH3 + 1 Proton </v>
      </c>
      <c r="C130" t="str">
        <f>Master!F298</f>
        <v>N</v>
      </c>
      <c r="D130">
        <f>Master!M298</f>
        <v>3</v>
      </c>
      <c r="F130" s="37" t="str">
        <f t="shared" si="35"/>
        <v>R298</v>
      </c>
      <c r="G130" s="37" t="str">
        <f t="shared" si="36"/>
        <v xml:space="preserve">1 H2O + 1 L-Asparagine = 1 L-Aspartate + 1 NH3 + 1 Proton </v>
      </c>
      <c r="H130" s="37" t="s">
        <v>1027</v>
      </c>
      <c r="I130" s="37" t="s">
        <v>1028</v>
      </c>
      <c r="J130" s="37" t="str">
        <f t="shared" si="37"/>
        <v>0</v>
      </c>
      <c r="K130" s="37" t="s">
        <v>195</v>
      </c>
      <c r="L130" s="37">
        <v>0</v>
      </c>
      <c r="M130" s="37">
        <v>0</v>
      </c>
      <c r="N130" s="37">
        <v>1</v>
      </c>
      <c r="O130" s="37">
        <v>1</v>
      </c>
      <c r="P130" s="37">
        <v>0</v>
      </c>
      <c r="Q130" s="37">
        <v>0.01</v>
      </c>
      <c r="AE130" t="str">
        <f t="shared" ref="AE130:AE193" si="38">CONCATENATE(D130,$E$1,D131)</f>
        <v>3;1</v>
      </c>
    </row>
    <row r="131" spans="1:37" x14ac:dyDescent="0.25">
      <c r="A131" t="str">
        <f>Master!A300</f>
        <v>R300</v>
      </c>
      <c r="B131" t="str">
        <f>Master!C300</f>
        <v xml:space="preserve">1 2-Oxoglutarate + 1 NADH + 1 NH3 + 2 Proton = 1 H2O + 1 L-Glutamate + 1 NAD </v>
      </c>
      <c r="C131" t="str">
        <f>Master!F300</f>
        <v>Y</v>
      </c>
      <c r="D131">
        <f>Master!M300</f>
        <v>1</v>
      </c>
      <c r="F131" s="37" t="str">
        <f t="shared" si="35"/>
        <v>R300</v>
      </c>
      <c r="G131" s="37" t="str">
        <f t="shared" si="36"/>
        <v xml:space="preserve">1 2-Oxoglutarate + 1 NADH + 1 NH3 + 2 Proton = 1 H2O + 1 L-Glutamate + 1 NAD </v>
      </c>
      <c r="H131" s="37" t="s">
        <v>1027</v>
      </c>
      <c r="I131" s="37" t="s">
        <v>1028</v>
      </c>
      <c r="J131" s="37" t="str">
        <f t="shared" si="37"/>
        <v>-inf</v>
      </c>
      <c r="K131" s="37" t="s">
        <v>195</v>
      </c>
      <c r="L131" s="37">
        <v>0</v>
      </c>
      <c r="M131" s="37">
        <v>0</v>
      </c>
      <c r="N131" s="37">
        <v>1</v>
      </c>
      <c r="O131" s="37">
        <v>1</v>
      </c>
      <c r="P131" s="37">
        <v>0</v>
      </c>
      <c r="Q131" s="37">
        <v>0.01</v>
      </c>
      <c r="AE131" t="str">
        <f t="shared" si="38"/>
        <v>1;1</v>
      </c>
    </row>
    <row r="132" spans="1:37" x14ac:dyDescent="0.25">
      <c r="A132" t="str">
        <f>Master!A302</f>
        <v>R302</v>
      </c>
      <c r="B132" t="str">
        <f>Master!C302</f>
        <v>L-Glutamine + 2-Oxoglutarate + NADPH + Proton = NADP + 2 L-Glutamate</v>
      </c>
      <c r="C132" t="str">
        <f>Master!F302</f>
        <v>N</v>
      </c>
      <c r="D132">
        <f>Master!M302</f>
        <v>1</v>
      </c>
      <c r="F132" s="37" t="str">
        <f t="shared" si="35"/>
        <v>R302</v>
      </c>
      <c r="G132" s="37" t="str">
        <f t="shared" si="36"/>
        <v>L-Glutamine + 2-Oxoglutarate + NADPH + Proton = NADP + 2 L-Glutamate</v>
      </c>
      <c r="H132" s="37" t="s">
        <v>1027</v>
      </c>
      <c r="I132" s="37" t="s">
        <v>1028</v>
      </c>
      <c r="J132" s="37" t="str">
        <f t="shared" si="37"/>
        <v>0</v>
      </c>
      <c r="K132" s="37" t="s">
        <v>195</v>
      </c>
      <c r="L132" s="37">
        <v>0</v>
      </c>
      <c r="M132" s="37">
        <v>0</v>
      </c>
      <c r="N132" s="37">
        <v>1</v>
      </c>
      <c r="O132" s="37">
        <v>1</v>
      </c>
      <c r="P132" s="37">
        <v>0</v>
      </c>
      <c r="Q132" s="37">
        <v>0.01</v>
      </c>
      <c r="AE132" t="str">
        <f t="shared" si="38"/>
        <v>1;1</v>
      </c>
    </row>
    <row r="133" spans="1:37" x14ac:dyDescent="0.25">
      <c r="A133" t="str">
        <f>Master!A304</f>
        <v>R304</v>
      </c>
      <c r="B133" t="str">
        <f>Master!C304</f>
        <v xml:space="preserve">4 H2O + 1 L-Histidine = 1 formate + 1 L-Glutamate + 2 NH3 + 2 Proton </v>
      </c>
      <c r="C133" t="str">
        <f>Master!F304</f>
        <v>N</v>
      </c>
      <c r="D133">
        <f>Master!M304</f>
        <v>1</v>
      </c>
      <c r="F133" s="37" t="str">
        <f t="shared" si="35"/>
        <v>R304</v>
      </c>
      <c r="G133" s="37" t="str">
        <f t="shared" si="36"/>
        <v xml:space="preserve">4 H2O + 1 L-Histidine = 1 formate + 1 L-Glutamate + 2 NH3 + 2 Proton </v>
      </c>
      <c r="H133" s="37" t="s">
        <v>1027</v>
      </c>
      <c r="I133" s="37" t="s">
        <v>1028</v>
      </c>
      <c r="J133" s="37" t="str">
        <f t="shared" si="37"/>
        <v>0</v>
      </c>
      <c r="K133" s="37" t="s">
        <v>195</v>
      </c>
      <c r="L133" s="37">
        <v>0</v>
      </c>
      <c r="M133" s="37">
        <v>0</v>
      </c>
      <c r="N133" s="37">
        <v>1</v>
      </c>
      <c r="O133" s="37">
        <v>1</v>
      </c>
      <c r="P133" s="37">
        <v>0</v>
      </c>
      <c r="Q133" s="37">
        <v>0.01</v>
      </c>
      <c r="AE133" t="str">
        <f t="shared" si="38"/>
        <v>1;5</v>
      </c>
      <c r="AF133" t="str">
        <f t="shared" ref="AF133:AF189" si="39">CONCATENATE(AE133,$E$1,AE135)</f>
        <v>1;5;1;3</v>
      </c>
    </row>
    <row r="134" spans="1:37" x14ac:dyDescent="0.25">
      <c r="A134" t="str">
        <f>Master!A306</f>
        <v>R306</v>
      </c>
      <c r="B134" t="str">
        <f>Master!C306</f>
        <v xml:space="preserve">2 CoA + 1 FAD + 1 H2O + 1 3MOP + 2 NAD = 1 Acetyl-CoA + 1 CO2 + 1 FADH2 + 2 NADH + 1 propanoyl-CoA + 1 Proton </v>
      </c>
      <c r="C134" t="str">
        <f>Master!F306</f>
        <v>N</v>
      </c>
      <c r="D134">
        <f>Master!M306</f>
        <v>5</v>
      </c>
      <c r="F134" s="37" t="str">
        <f t="shared" si="35"/>
        <v>R306</v>
      </c>
      <c r="G134" s="37" t="str">
        <f t="shared" si="36"/>
        <v xml:space="preserve">2 CoA + 1 FAD + 1 H2O + 1 3MOP + 2 NAD = 1 Acetyl-CoA + 1 CO2 + 1 FADH2 + 2 NADH + 1 propanoyl-CoA + 1 Proton </v>
      </c>
      <c r="H134" s="37" t="s">
        <v>1027</v>
      </c>
      <c r="I134" s="37" t="s">
        <v>1028</v>
      </c>
      <c r="J134" s="37" t="str">
        <f t="shared" si="37"/>
        <v>0</v>
      </c>
      <c r="K134" s="37" t="s">
        <v>195</v>
      </c>
      <c r="L134" s="37">
        <v>0</v>
      </c>
      <c r="M134" s="37">
        <v>0</v>
      </c>
      <c r="N134" s="37">
        <v>1</v>
      </c>
      <c r="O134" s="37">
        <v>1</v>
      </c>
      <c r="P134" s="37">
        <v>0</v>
      </c>
      <c r="Q134" s="37">
        <v>0.01</v>
      </c>
      <c r="AE134" t="str">
        <f t="shared" si="38"/>
        <v>5;1</v>
      </c>
    </row>
    <row r="135" spans="1:37" x14ac:dyDescent="0.25">
      <c r="A135" t="str">
        <f>Master!A313</f>
        <v>R313</v>
      </c>
      <c r="B135" t="str">
        <f>Master!C313</f>
        <v>1 4MOP + 1 CoA + 1 NAD = 1 Isovaleryl-CoA + 1 CO2 + 1 NADH</v>
      </c>
      <c r="C135" t="str">
        <f>Master!F313</f>
        <v>N</v>
      </c>
      <c r="D135">
        <f>Master!M313</f>
        <v>1</v>
      </c>
      <c r="F135" s="37" t="str">
        <f t="shared" si="35"/>
        <v>R313</v>
      </c>
      <c r="G135" s="37" t="str">
        <f t="shared" si="36"/>
        <v>1 4MOP + 1 CoA + 1 NAD = 1 Isovaleryl-CoA + 1 CO2 + 1 NADH</v>
      </c>
      <c r="H135" s="37" t="s">
        <v>1027</v>
      </c>
      <c r="I135" s="37" t="s">
        <v>1028</v>
      </c>
      <c r="J135" s="37" t="str">
        <f t="shared" si="37"/>
        <v>0</v>
      </c>
      <c r="K135" s="37" t="s">
        <v>195</v>
      </c>
      <c r="L135" s="37">
        <v>0</v>
      </c>
      <c r="M135" s="37">
        <v>0</v>
      </c>
      <c r="N135" s="37">
        <v>1</v>
      </c>
      <c r="O135" s="37">
        <v>1</v>
      </c>
      <c r="P135" s="37">
        <v>0</v>
      </c>
      <c r="Q135" s="37">
        <v>0.01</v>
      </c>
      <c r="AE135" t="str">
        <f t="shared" si="38"/>
        <v>1;3</v>
      </c>
    </row>
    <row r="136" spans="1:37" x14ac:dyDescent="0.25">
      <c r="A136" t="str">
        <f>Master!A315</f>
        <v>R315</v>
      </c>
      <c r="B136" t="str">
        <f>Master!C315</f>
        <v xml:space="preserve">1 ATP + 1 FAD + 1 H2O + 1 HCO3 + 1 Isovaleryl-CoA = 1 3-Hydroxy-3-methylglutaryl-CoA + 1 ADP + 1 FADH2 + 1 Phosphate + 1 Proton </v>
      </c>
      <c r="C136" t="str">
        <f>Master!F315</f>
        <v>N</v>
      </c>
      <c r="D136">
        <f>Master!M315</f>
        <v>3</v>
      </c>
      <c r="F136" s="37" t="str">
        <f t="shared" si="35"/>
        <v>R315</v>
      </c>
      <c r="G136" s="37" t="str">
        <f t="shared" si="36"/>
        <v xml:space="preserve">1 ATP + 1 FAD + 1 H2O + 1 HCO3 + 1 Isovaleryl-CoA = 1 3-Hydroxy-3-methylglutaryl-CoA + 1 ADP + 1 FADH2 + 1 Phosphate + 1 Proton </v>
      </c>
      <c r="H136" s="37" t="s">
        <v>1027</v>
      </c>
      <c r="I136" s="37" t="s">
        <v>1028</v>
      </c>
      <c r="J136" s="37" t="str">
        <f t="shared" si="37"/>
        <v>0</v>
      </c>
      <c r="K136" s="37" t="s">
        <v>195</v>
      </c>
      <c r="L136" s="37">
        <v>0</v>
      </c>
      <c r="M136" s="37">
        <v>0</v>
      </c>
      <c r="N136" s="37">
        <v>1</v>
      </c>
      <c r="O136" s="37">
        <v>1</v>
      </c>
      <c r="P136" s="37">
        <v>0</v>
      </c>
      <c r="Q136" s="37">
        <v>0.01</v>
      </c>
      <c r="AE136" t="str">
        <f t="shared" si="38"/>
        <v>3;1</v>
      </c>
    </row>
    <row r="137" spans="1:37" x14ac:dyDescent="0.25">
      <c r="A137" t="str">
        <f>Master!A320</f>
        <v>R320</v>
      </c>
      <c r="B137" t="str">
        <f>Master!C320</f>
        <v>1 3-Methyl-2-oxobutanoate + 1 NAD + 1 CoA = 1 NADH + 1 CO2 + 1 isobutyryl-CoA</v>
      </c>
      <c r="C137" t="str">
        <f>Master!F320</f>
        <v>N</v>
      </c>
      <c r="D137">
        <f>Master!M320</f>
        <v>1</v>
      </c>
      <c r="F137" s="37" t="str">
        <f t="shared" si="35"/>
        <v>R320</v>
      </c>
      <c r="G137" s="37" t="str">
        <f t="shared" si="36"/>
        <v>1 3-Methyl-2-oxobutanoate + 1 NAD + 1 CoA = 1 NADH + 1 CO2 + 1 isobutyryl-CoA</v>
      </c>
      <c r="H137" s="37" t="s">
        <v>1027</v>
      </c>
      <c r="I137" s="37" t="s">
        <v>1028</v>
      </c>
      <c r="J137" s="37" t="str">
        <f t="shared" si="37"/>
        <v>0</v>
      </c>
      <c r="K137" s="37" t="s">
        <v>195</v>
      </c>
      <c r="L137" s="37">
        <v>0</v>
      </c>
      <c r="M137" s="37">
        <v>0</v>
      </c>
      <c r="N137" s="37">
        <v>1</v>
      </c>
      <c r="O137" s="37">
        <v>1</v>
      </c>
      <c r="P137" s="37">
        <v>0</v>
      </c>
      <c r="Q137" s="37">
        <v>0.01</v>
      </c>
      <c r="AE137" t="str">
        <f t="shared" si="38"/>
        <v>1;5</v>
      </c>
      <c r="AF137" t="str">
        <f t="shared" si="39"/>
        <v>1;5;5;4</v>
      </c>
      <c r="AG137" t="str">
        <f t="shared" ref="AG137:AG169" si="40">CONCATENATE(AF137,$E$1,AF141)</f>
        <v>1;5;5;4;3;1;1;1</v>
      </c>
    </row>
    <row r="138" spans="1:37" x14ac:dyDescent="0.25">
      <c r="A138" t="str">
        <f>Master!A322</f>
        <v>R322</v>
      </c>
      <c r="B138" t="str">
        <f>Master!C322</f>
        <v>isobutyryl-CoA + FAD + 3 H2O + 2 NAD = 2 NADH + FADH2 + 3 Proton + propanoyl-CoA + HCO3</v>
      </c>
      <c r="C138" t="str">
        <f>Master!F322</f>
        <v>N</v>
      </c>
      <c r="D138">
        <f>Master!M322</f>
        <v>5</v>
      </c>
      <c r="F138" s="37" t="str">
        <f t="shared" si="35"/>
        <v>R322</v>
      </c>
      <c r="G138" s="37" t="str">
        <f t="shared" si="36"/>
        <v>isobutyryl-CoA + FAD + 3 H2O + 2 NAD = 2 NADH + FADH2 + 3 Proton + propanoyl-CoA + HCO3</v>
      </c>
      <c r="H138" s="37" t="s">
        <v>1027</v>
      </c>
      <c r="I138" s="37" t="s">
        <v>1028</v>
      </c>
      <c r="J138" s="37" t="str">
        <f t="shared" si="37"/>
        <v>0</v>
      </c>
      <c r="K138" s="37" t="s">
        <v>195</v>
      </c>
      <c r="L138" s="37">
        <v>0</v>
      </c>
      <c r="M138" s="37">
        <v>0</v>
      </c>
      <c r="N138" s="37">
        <v>1</v>
      </c>
      <c r="O138" s="37">
        <v>1</v>
      </c>
      <c r="P138" s="37">
        <v>0</v>
      </c>
      <c r="Q138" s="37">
        <v>0.01</v>
      </c>
      <c r="AE138" t="str">
        <f t="shared" si="38"/>
        <v>5;5</v>
      </c>
    </row>
    <row r="139" spans="1:37" x14ac:dyDescent="0.25">
      <c r="A139" t="str">
        <f>Master!A329</f>
        <v>R329</v>
      </c>
      <c r="B139" t="str">
        <f>Master!C329</f>
        <v xml:space="preserve">1 2-Oxoglutarate + 1 ATP + 1 CoA + 1 H2O + 1 L-Lysine + 1 NADP + 1 O2 = 1 ADP + 1 CO2 + 1 glutaryl-coA + 1 L-Glutamate + 1 NADPH + 1 NH3 + 1 Phosphate + 3 Proton </v>
      </c>
      <c r="C139" t="str">
        <f>Master!F329</f>
        <v>N</v>
      </c>
      <c r="D139">
        <f>Master!M329</f>
        <v>5</v>
      </c>
      <c r="F139" s="37" t="str">
        <f t="shared" si="35"/>
        <v>R329</v>
      </c>
      <c r="G139" s="37" t="str">
        <f t="shared" si="36"/>
        <v xml:space="preserve">1 2-Oxoglutarate + 1 ATP + 1 CoA + 1 H2O + 1 L-Lysine + 1 NADP + 1 O2 = 1 ADP + 1 CO2 + 1 glutaryl-coA + 1 L-Glutamate + 1 NADPH + 1 NH3 + 1 Phosphate + 3 Proton </v>
      </c>
      <c r="H139" s="37" t="s">
        <v>1027</v>
      </c>
      <c r="I139" s="37" t="s">
        <v>1028</v>
      </c>
      <c r="J139" s="37" t="str">
        <f t="shared" si="37"/>
        <v>0</v>
      </c>
      <c r="K139" s="37" t="s">
        <v>195</v>
      </c>
      <c r="L139" s="37">
        <v>0</v>
      </c>
      <c r="M139" s="37">
        <v>0</v>
      </c>
      <c r="N139" s="37">
        <v>1</v>
      </c>
      <c r="O139" s="37">
        <v>1</v>
      </c>
      <c r="P139" s="37">
        <v>0</v>
      </c>
      <c r="Q139" s="37">
        <v>0.01</v>
      </c>
      <c r="AE139" t="str">
        <f t="shared" si="38"/>
        <v>5;4</v>
      </c>
    </row>
    <row r="140" spans="1:37" x14ac:dyDescent="0.25">
      <c r="A140" t="str">
        <f>Master!A336</f>
        <v>R336</v>
      </c>
      <c r="B140" t="str">
        <f>Master!C336</f>
        <v xml:space="preserve">1 FAD + 1 glutaryl-coA + 1 H2O + 1 NAD = Acetoacetyl-CoA + 1 CO2 + 1 FADH2 + 1 NADH </v>
      </c>
      <c r="C140" t="str">
        <f>Master!F336</f>
        <v>N</v>
      </c>
      <c r="D140">
        <f>Master!M336</f>
        <v>4</v>
      </c>
      <c r="F140" s="37" t="str">
        <f t="shared" si="35"/>
        <v>R336</v>
      </c>
      <c r="G140" s="37" t="str">
        <f t="shared" si="36"/>
        <v xml:space="preserve">1 FAD + 1 glutaryl-coA + 1 H2O + 1 NAD = Acetoacetyl-CoA + 1 CO2 + 1 FADH2 + 1 NADH </v>
      </c>
      <c r="H140" s="37" t="s">
        <v>1027</v>
      </c>
      <c r="I140" s="37" t="s">
        <v>1028</v>
      </c>
      <c r="J140" s="37" t="str">
        <f t="shared" si="37"/>
        <v>0</v>
      </c>
      <c r="K140" s="37" t="s">
        <v>195</v>
      </c>
      <c r="L140" s="37">
        <v>0</v>
      </c>
      <c r="M140" s="37">
        <v>0</v>
      </c>
      <c r="N140" s="37">
        <v>1</v>
      </c>
      <c r="O140" s="37">
        <v>1</v>
      </c>
      <c r="P140" s="37">
        <v>0</v>
      </c>
      <c r="Q140" s="37">
        <v>0.01</v>
      </c>
      <c r="AE140" t="str">
        <f t="shared" si="38"/>
        <v>4;3</v>
      </c>
    </row>
    <row r="141" spans="1:37" x14ac:dyDescent="0.25">
      <c r="A141" t="str">
        <f>Master!A342</f>
        <v>R342</v>
      </c>
      <c r="B141" t="str">
        <f>Master!C342</f>
        <v xml:space="preserve">1 H2O + 1 L-Methionine = 1 2-Oxobutyrate + 1 methanethiol + 1 NH3 + 1 Proton </v>
      </c>
      <c r="C141" t="str">
        <f>Master!F342</f>
        <v>N</v>
      </c>
      <c r="D141">
        <f>Master!M342</f>
        <v>3</v>
      </c>
      <c r="F141" s="37" t="str">
        <f t="shared" si="35"/>
        <v>R342</v>
      </c>
      <c r="G141" s="37" t="str">
        <f t="shared" si="36"/>
        <v xml:space="preserve">1 H2O + 1 L-Methionine = 1 2-Oxobutyrate + 1 methanethiol + 1 NH3 + 1 Proton </v>
      </c>
      <c r="H141" s="37" t="s">
        <v>1027</v>
      </c>
      <c r="I141" s="37" t="s">
        <v>1028</v>
      </c>
      <c r="J141" s="37" t="str">
        <f t="shared" si="37"/>
        <v>0</v>
      </c>
      <c r="K141" s="37" t="s">
        <v>195</v>
      </c>
      <c r="L141" s="37">
        <v>0</v>
      </c>
      <c r="M141" s="37">
        <v>0</v>
      </c>
      <c r="N141" s="37">
        <v>1</v>
      </c>
      <c r="O141" s="37">
        <v>1</v>
      </c>
      <c r="P141" s="37">
        <v>0</v>
      </c>
      <c r="Q141" s="37">
        <v>0.01</v>
      </c>
      <c r="AE141" t="str">
        <f t="shared" si="38"/>
        <v>3;1</v>
      </c>
      <c r="AF141" t="str">
        <f t="shared" si="39"/>
        <v>3;1;1;1</v>
      </c>
    </row>
    <row r="142" spans="1:37" x14ac:dyDescent="0.25">
      <c r="A142" t="str">
        <f>Master!A347</f>
        <v>R347</v>
      </c>
      <c r="B142" t="str">
        <f>Master!C347</f>
        <v xml:space="preserve">1 2-Oxobutyrate + 1 CoA + 1 NAD = 1 CO2 + 1 NADH + 1 propanoyl-CoA </v>
      </c>
      <c r="C142" t="str">
        <f>Master!F347</f>
        <v>N</v>
      </c>
      <c r="D142">
        <f>Master!M347</f>
        <v>1</v>
      </c>
      <c r="F142" s="37" t="str">
        <f t="shared" si="35"/>
        <v>R347</v>
      </c>
      <c r="G142" s="37" t="str">
        <f t="shared" si="36"/>
        <v xml:space="preserve">1 2-Oxobutyrate + 1 CoA + 1 NAD = 1 CO2 + 1 NADH + 1 propanoyl-CoA </v>
      </c>
      <c r="H142" s="37" t="s">
        <v>1027</v>
      </c>
      <c r="I142" s="37" t="s">
        <v>1028</v>
      </c>
      <c r="J142" s="37" t="str">
        <f t="shared" si="37"/>
        <v>0</v>
      </c>
      <c r="K142" s="37" t="s">
        <v>195</v>
      </c>
      <c r="L142" s="37">
        <v>0</v>
      </c>
      <c r="M142" s="37">
        <v>0</v>
      </c>
      <c r="N142" s="37">
        <v>1</v>
      </c>
      <c r="O142" s="37">
        <v>1</v>
      </c>
      <c r="P142" s="37">
        <v>0</v>
      </c>
      <c r="Q142" s="37">
        <v>0.01</v>
      </c>
      <c r="AE142" t="str">
        <f t="shared" si="38"/>
        <v>1;1</v>
      </c>
    </row>
    <row r="143" spans="1:37" x14ac:dyDescent="0.25">
      <c r="A143" t="str">
        <f>Master!A349</f>
        <v>R349</v>
      </c>
      <c r="B143" t="str">
        <f>Master!C349</f>
        <v xml:space="preserve">1 propanoyl-CoA + 1 Succinate = 1 propionate + 1 Succinyl-CoA </v>
      </c>
      <c r="C143" t="str">
        <f>Master!F349</f>
        <v>N</v>
      </c>
      <c r="D143">
        <f>Master!M349</f>
        <v>1</v>
      </c>
      <c r="F143" s="37" t="str">
        <f t="shared" si="35"/>
        <v>R349</v>
      </c>
      <c r="G143" s="37" t="str">
        <f t="shared" si="36"/>
        <v xml:space="preserve">1 propanoyl-CoA + 1 Succinate = 1 propionate + 1 Succinyl-CoA </v>
      </c>
      <c r="H143" s="37" t="s">
        <v>1027</v>
      </c>
      <c r="I143" s="37" t="s">
        <v>1028</v>
      </c>
      <c r="J143" s="37" t="str">
        <f t="shared" si="37"/>
        <v>0</v>
      </c>
      <c r="K143" s="37" t="s">
        <v>195</v>
      </c>
      <c r="L143" s="37">
        <v>0</v>
      </c>
      <c r="M143" s="37">
        <v>0</v>
      </c>
      <c r="N143" s="37">
        <v>1</v>
      </c>
      <c r="O143" s="37">
        <v>1</v>
      </c>
      <c r="P143" s="37">
        <v>0</v>
      </c>
      <c r="Q143" s="37">
        <v>0.01</v>
      </c>
      <c r="AE143" t="str">
        <f t="shared" si="38"/>
        <v>1;1</v>
      </c>
    </row>
    <row r="144" spans="1:37" x14ac:dyDescent="0.25">
      <c r="A144" t="str">
        <f>Master!A351</f>
        <v>R351</v>
      </c>
      <c r="B144" t="str">
        <f>Master!C351</f>
        <v>1 methanethiol + 1 O2 + 1 H2O = 1 formaldehyde + 1 H2S + 1 H2O2</v>
      </c>
      <c r="C144" t="str">
        <f>Master!F351</f>
        <v>N</v>
      </c>
      <c r="D144">
        <f>Master!M351</f>
        <v>1</v>
      </c>
      <c r="F144" s="37" t="str">
        <f t="shared" si="35"/>
        <v>R351</v>
      </c>
      <c r="G144" s="37" t="str">
        <f t="shared" si="36"/>
        <v>1 methanethiol + 1 O2 + 1 H2O = 1 formaldehyde + 1 H2S + 1 H2O2</v>
      </c>
      <c r="H144" s="37" t="s">
        <v>1027</v>
      </c>
      <c r="I144" s="37" t="s">
        <v>1028</v>
      </c>
      <c r="J144" s="37" t="str">
        <f t="shared" si="37"/>
        <v>0</v>
      </c>
      <c r="K144" s="37" t="s">
        <v>195</v>
      </c>
      <c r="L144" s="37">
        <v>0</v>
      </c>
      <c r="M144" s="37">
        <v>0</v>
      </c>
      <c r="N144" s="37">
        <v>1</v>
      </c>
      <c r="O144" s="37">
        <v>1</v>
      </c>
      <c r="P144" s="37">
        <v>0</v>
      </c>
      <c r="Q144" s="37">
        <v>0.01</v>
      </c>
      <c r="AE144" t="str">
        <f t="shared" si="38"/>
        <v>1;1</v>
      </c>
    </row>
    <row r="145" spans="1:34" x14ac:dyDescent="0.25">
      <c r="A145" t="str">
        <f>Master!A353</f>
        <v>R353</v>
      </c>
      <c r="B145" t="str">
        <f>Master!C353</f>
        <v xml:space="preserve">1 ATP + 1 CoA + 1 propionate = 1 ADP + 1 Phosphate + 1 propanoyl-CoA </v>
      </c>
      <c r="C145" t="str">
        <f>Master!F353</f>
        <v>N</v>
      </c>
      <c r="D145">
        <f>Master!M353</f>
        <v>1</v>
      </c>
      <c r="F145" s="37" t="str">
        <f t="shared" si="35"/>
        <v>R353</v>
      </c>
      <c r="G145" s="37" t="str">
        <f t="shared" si="36"/>
        <v xml:space="preserve">1 ATP + 1 CoA + 1 propionate = 1 ADP + 1 Phosphate + 1 propanoyl-CoA </v>
      </c>
      <c r="H145" s="37" t="s">
        <v>1027</v>
      </c>
      <c r="I145" s="37" t="s">
        <v>1028</v>
      </c>
      <c r="J145" s="37" t="str">
        <f t="shared" si="37"/>
        <v>0</v>
      </c>
      <c r="K145" s="37" t="s">
        <v>195</v>
      </c>
      <c r="L145" s="37">
        <v>0</v>
      </c>
      <c r="M145" s="37">
        <v>0</v>
      </c>
      <c r="N145" s="37">
        <v>1</v>
      </c>
      <c r="O145" s="37">
        <v>1</v>
      </c>
      <c r="P145" s="37">
        <v>0</v>
      </c>
      <c r="Q145" s="37">
        <v>0.01</v>
      </c>
      <c r="AE145" t="str">
        <f t="shared" si="38"/>
        <v>1;3</v>
      </c>
      <c r="AF145" t="str">
        <f>CONCATENATE(AE145,$E$1,AE147)</f>
        <v>1;3;12;8</v>
      </c>
      <c r="AG145" t="str">
        <f>CONCATENATE(AF145,$E$1,AF149)</f>
        <v>1;3;12;8;1;1;3;1</v>
      </c>
      <c r="AH145" t="str">
        <f>CONCATENATE(AG145,$E$1,AG153)</f>
        <v>1;3;12;8;1;1;3;1;1;1;1;1;1;1;1;1</v>
      </c>
    </row>
    <row r="146" spans="1:34" x14ac:dyDescent="0.25">
      <c r="A146" t="str">
        <f>Master!A355</f>
        <v>R355</v>
      </c>
      <c r="B146" t="str">
        <f>Master!C355</f>
        <v xml:space="preserve">1 L-Phenylalanine + 1 NADH + 1 O2 + 1 Proton = 1 H2O + 1 L-Tyrosine + 1 NAD </v>
      </c>
      <c r="C146" t="str">
        <f>Master!F355</f>
        <v>N</v>
      </c>
      <c r="D146">
        <f>Master!M355</f>
        <v>3</v>
      </c>
      <c r="F146" s="37" t="str">
        <f t="shared" si="35"/>
        <v>R355</v>
      </c>
      <c r="G146" s="37" t="str">
        <f t="shared" si="36"/>
        <v xml:space="preserve">1 L-Phenylalanine + 1 NADH + 1 O2 + 1 Proton = 1 H2O + 1 L-Tyrosine + 1 NAD </v>
      </c>
      <c r="H146" s="37" t="s">
        <v>1027</v>
      </c>
      <c r="I146" s="37" t="s">
        <v>1028</v>
      </c>
      <c r="J146" s="37" t="str">
        <f t="shared" si="37"/>
        <v>0</v>
      </c>
      <c r="K146" s="37" t="s">
        <v>195</v>
      </c>
      <c r="L146" s="37">
        <v>0</v>
      </c>
      <c r="M146" s="37">
        <v>0</v>
      </c>
      <c r="N146" s="37">
        <v>1</v>
      </c>
      <c r="O146" s="37">
        <v>1</v>
      </c>
      <c r="P146" s="37">
        <v>0</v>
      </c>
      <c r="Q146" s="37">
        <v>0.01</v>
      </c>
      <c r="AE146" t="str">
        <f t="shared" si="38"/>
        <v>3;12</v>
      </c>
    </row>
    <row r="147" spans="1:34" x14ac:dyDescent="0.25">
      <c r="A147" t="str">
        <f>Master!A357</f>
        <v>R357</v>
      </c>
      <c r="B147" t="str">
        <f>Master!C357</f>
        <v xml:space="preserve">1 CoA + 1 FADH2 + 4 H2O + 1 L-Tryptophan + 2 NAD + 3 O2 = 1 Acetyl-CoA + 2 CO2 + 1 FAD + 1 formate + 1 L-Alanine + 2 NADH + 1 NH3 + 4 Proton + 1 Pyruvate </v>
      </c>
      <c r="C147" t="str">
        <f>Master!F357</f>
        <v>N</v>
      </c>
      <c r="D147">
        <f>Master!M357</f>
        <v>12</v>
      </c>
      <c r="F147" s="37" t="str">
        <f t="shared" si="35"/>
        <v>R357</v>
      </c>
      <c r="G147" s="37" t="str">
        <f t="shared" si="36"/>
        <v xml:space="preserve">1 CoA + 1 FADH2 + 4 H2O + 1 L-Tryptophan + 2 NAD + 3 O2 = 1 Acetyl-CoA + 2 CO2 + 1 FAD + 1 formate + 1 L-Alanine + 2 NADH + 1 NH3 + 4 Proton + 1 Pyruvate </v>
      </c>
      <c r="H147" s="37" t="s">
        <v>1027</v>
      </c>
      <c r="I147" s="37" t="s">
        <v>1028</v>
      </c>
      <c r="J147" s="37" t="str">
        <f t="shared" si="37"/>
        <v>0</v>
      </c>
      <c r="K147" s="37" t="s">
        <v>195</v>
      </c>
      <c r="L147" s="37">
        <v>0</v>
      </c>
      <c r="M147" s="37">
        <v>0</v>
      </c>
      <c r="N147" s="37">
        <v>1</v>
      </c>
      <c r="O147" s="37">
        <v>1</v>
      </c>
      <c r="P147" s="37">
        <v>0</v>
      </c>
      <c r="Q147" s="37">
        <v>0.01</v>
      </c>
      <c r="AE147" t="str">
        <f t="shared" si="38"/>
        <v>12;8</v>
      </c>
    </row>
    <row r="148" spans="1:34" x14ac:dyDescent="0.25">
      <c r="A148" t="str">
        <f>Master!A371</f>
        <v>R371</v>
      </c>
      <c r="B148" t="str">
        <f>Master!C371</f>
        <v xml:space="preserve">1 4-hydroxyphenylacetate + 1 FADH2 + 2 H2O + 1 NAD + 1 NADP + 2 O2 = 1 CO2 + 1 FAD + 1 NADH + 1 NADPH + 4 Proton + 1 Pyruvate + 1 Succinate </v>
      </c>
      <c r="C148" t="str">
        <f>Master!F371</f>
        <v>N</v>
      </c>
      <c r="D148">
        <f>Master!M371</f>
        <v>8</v>
      </c>
      <c r="F148" s="37" t="str">
        <f t="shared" si="35"/>
        <v>R371</v>
      </c>
      <c r="G148" s="37" t="str">
        <f t="shared" si="36"/>
        <v xml:space="preserve">1 4-hydroxyphenylacetate + 1 FADH2 + 2 H2O + 1 NAD + 1 NADP + 2 O2 = 1 CO2 + 1 FAD + 1 NADH + 1 NADPH + 4 Proton + 1 Pyruvate + 1 Succinate </v>
      </c>
      <c r="H148" s="37" t="s">
        <v>1027</v>
      </c>
      <c r="I148" s="37" t="s">
        <v>1028</v>
      </c>
      <c r="J148" s="37" t="str">
        <f t="shared" si="37"/>
        <v>0</v>
      </c>
      <c r="K148" s="37" t="s">
        <v>195</v>
      </c>
      <c r="L148" s="37">
        <v>0</v>
      </c>
      <c r="M148" s="37">
        <v>0</v>
      </c>
      <c r="N148" s="37">
        <v>1</v>
      </c>
      <c r="O148" s="37">
        <v>1</v>
      </c>
      <c r="P148" s="37">
        <v>0</v>
      </c>
      <c r="Q148" s="37">
        <v>0.01</v>
      </c>
      <c r="AE148" t="str">
        <f t="shared" si="38"/>
        <v>8;1</v>
      </c>
    </row>
    <row r="149" spans="1:34" x14ac:dyDescent="0.25">
      <c r="A149" t="str">
        <f>Master!A381</f>
        <v>R381</v>
      </c>
      <c r="B149" t="str">
        <f>Master!C381</f>
        <v>1 O2 + 1 p-hydroxyphenylpyruvate + 1 Proton + NADH = 1 4-hydroxyphenylacetate + 1 CO2 + 1 H2O + NAD</v>
      </c>
      <c r="C149" t="str">
        <f>Master!F381</f>
        <v>N</v>
      </c>
      <c r="D149">
        <f>Master!M381</f>
        <v>1</v>
      </c>
      <c r="F149" s="37" t="str">
        <f t="shared" si="35"/>
        <v>R381</v>
      </c>
      <c r="G149" s="37" t="str">
        <f t="shared" si="36"/>
        <v>1 O2 + 1 p-hydroxyphenylpyruvate + 1 Proton + NADH = 1 4-hydroxyphenylacetate + 1 CO2 + 1 H2O + NAD</v>
      </c>
      <c r="H149" s="37" t="s">
        <v>1027</v>
      </c>
      <c r="I149" s="37" t="s">
        <v>1028</v>
      </c>
      <c r="J149" s="37" t="str">
        <f t="shared" si="37"/>
        <v>0</v>
      </c>
      <c r="K149" s="37" t="s">
        <v>195</v>
      </c>
      <c r="L149" s="37">
        <v>0</v>
      </c>
      <c r="M149" s="37">
        <v>0</v>
      </c>
      <c r="N149" s="37">
        <v>1</v>
      </c>
      <c r="O149" s="37">
        <v>1</v>
      </c>
      <c r="P149" s="37">
        <v>0</v>
      </c>
      <c r="Q149" s="37">
        <v>0.01</v>
      </c>
      <c r="AE149" t="str">
        <f t="shared" si="38"/>
        <v>1;1</v>
      </c>
      <c r="AF149" t="str">
        <f t="shared" si="39"/>
        <v>1;1;3;1</v>
      </c>
    </row>
    <row r="150" spans="1:34" x14ac:dyDescent="0.25">
      <c r="A150" t="str">
        <f>Master!A383</f>
        <v>R383</v>
      </c>
      <c r="B150" t="str">
        <f>Master!C383</f>
        <v xml:space="preserve">1 10-Formyltetrahydrofolate + 1 H2O = 1 formate + 1 Proton + 1 tetrahydrofolate_B9 </v>
      </c>
      <c r="C150" t="str">
        <f>Master!F383</f>
        <v>N</v>
      </c>
      <c r="D150">
        <f>Master!M383</f>
        <v>1</v>
      </c>
      <c r="F150" s="37" t="str">
        <f t="shared" si="35"/>
        <v>R383</v>
      </c>
      <c r="G150" s="37" t="str">
        <f t="shared" si="36"/>
        <v xml:space="preserve">1 10-Formyltetrahydrofolate + 1 H2O = 1 formate + 1 Proton + 1 tetrahydrofolate_B9 </v>
      </c>
      <c r="H150" s="37" t="s">
        <v>1027</v>
      </c>
      <c r="I150" s="37" t="s">
        <v>1028</v>
      </c>
      <c r="J150" s="37" t="str">
        <f t="shared" si="37"/>
        <v>0</v>
      </c>
      <c r="K150" s="37" t="s">
        <v>195</v>
      </c>
      <c r="L150" s="37">
        <v>0</v>
      </c>
      <c r="M150" s="37">
        <v>0</v>
      </c>
      <c r="N150" s="37">
        <v>1</v>
      </c>
      <c r="O150" s="37">
        <v>1</v>
      </c>
      <c r="P150" s="37">
        <v>0</v>
      </c>
      <c r="Q150" s="37">
        <v>0.01</v>
      </c>
      <c r="AE150" t="str">
        <f t="shared" si="38"/>
        <v>1;3</v>
      </c>
    </row>
    <row r="151" spans="1:34" x14ac:dyDescent="0.25">
      <c r="A151" t="str">
        <f>Master!A385</f>
        <v>R385</v>
      </c>
      <c r="B151" t="str">
        <f>Master!C385</f>
        <v xml:space="preserve">1 Glycine + 1 NAD + 1 tetrahydrofolate_B9 = 1 5-10-Methylenetetrahydrofolate + 1 CO2 + 1 NADH + 1 NH3 + 1 Proton </v>
      </c>
      <c r="C151" t="str">
        <f>Master!F385</f>
        <v>N</v>
      </c>
      <c r="D151">
        <f>Master!M385</f>
        <v>3</v>
      </c>
      <c r="F151" s="37" t="str">
        <f t="shared" si="35"/>
        <v>R385</v>
      </c>
      <c r="G151" s="37" t="str">
        <f t="shared" si="36"/>
        <v xml:space="preserve">1 Glycine + 1 NAD + 1 tetrahydrofolate_B9 = 1 5-10-Methylenetetrahydrofolate + 1 CO2 + 1 NADH + 1 NH3 + 1 Proton </v>
      </c>
      <c r="H151" s="37" t="s">
        <v>1027</v>
      </c>
      <c r="I151" s="37" t="s">
        <v>1028</v>
      </c>
      <c r="J151" s="37" t="str">
        <f t="shared" si="37"/>
        <v>0</v>
      </c>
      <c r="K151" s="37" t="s">
        <v>195</v>
      </c>
      <c r="L151" s="37">
        <v>0</v>
      </c>
      <c r="M151" s="37">
        <v>0</v>
      </c>
      <c r="N151" s="37">
        <v>1</v>
      </c>
      <c r="O151" s="37">
        <v>1</v>
      </c>
      <c r="P151" s="37">
        <v>0</v>
      </c>
      <c r="Q151" s="37">
        <v>0.01</v>
      </c>
      <c r="AE151" t="str">
        <f t="shared" si="38"/>
        <v>3;1</v>
      </c>
    </row>
    <row r="152" spans="1:34" x14ac:dyDescent="0.25">
      <c r="A152" t="str">
        <f>Master!A387</f>
        <v>R387</v>
      </c>
      <c r="B152" t="str">
        <f>Master!C387</f>
        <v xml:space="preserve">1 5-10-Methylenetetrahydrofolate + 1 NADH + 1 Proton = 1 5-methyl-tetrahydrofolate + 1 NAD </v>
      </c>
      <c r="C152" t="str">
        <f>Master!F387</f>
        <v>N</v>
      </c>
      <c r="D152">
        <f>Master!M387</f>
        <v>1</v>
      </c>
      <c r="F152" s="37" t="str">
        <f t="shared" si="35"/>
        <v>R387</v>
      </c>
      <c r="G152" s="37" t="str">
        <f t="shared" si="36"/>
        <v xml:space="preserve">1 5-10-Methylenetetrahydrofolate + 1 NADH + 1 Proton = 1 5-methyl-tetrahydrofolate + 1 NAD </v>
      </c>
      <c r="H152" s="37" t="s">
        <v>1027</v>
      </c>
      <c r="I152" s="37" t="s">
        <v>1028</v>
      </c>
      <c r="J152" s="37" t="str">
        <f t="shared" si="37"/>
        <v>0</v>
      </c>
      <c r="K152" s="37" t="s">
        <v>195</v>
      </c>
      <c r="L152" s="37">
        <v>0</v>
      </c>
      <c r="M152" s="37">
        <v>0</v>
      </c>
      <c r="N152" s="37">
        <v>1</v>
      </c>
      <c r="O152" s="37">
        <v>1</v>
      </c>
      <c r="P152" s="37">
        <v>0</v>
      </c>
      <c r="Q152" s="37">
        <v>0.01</v>
      </c>
      <c r="AE152" t="str">
        <f t="shared" si="38"/>
        <v>1;1</v>
      </c>
    </row>
    <row r="153" spans="1:34" x14ac:dyDescent="0.25">
      <c r="A153" t="str">
        <f>Master!A389</f>
        <v>R389</v>
      </c>
      <c r="B153" t="str">
        <f>Master!C389</f>
        <v xml:space="preserve">1 methenyl-THF + 1 NADH = 1 5-10-Methylenetetrahydrofolate + 1 NAD </v>
      </c>
      <c r="C153" t="str">
        <f>Master!F389</f>
        <v>Y</v>
      </c>
      <c r="D153">
        <f>Master!M389</f>
        <v>1</v>
      </c>
      <c r="F153" s="37" t="str">
        <f t="shared" si="35"/>
        <v>R389</v>
      </c>
      <c r="G153" s="37" t="str">
        <f t="shared" si="36"/>
        <v xml:space="preserve">1 methenyl-THF + 1 NADH = 1 5-10-Methylenetetrahydrofolate + 1 NAD </v>
      </c>
      <c r="H153" s="37" t="s">
        <v>1027</v>
      </c>
      <c r="I153" s="37" t="s">
        <v>1028</v>
      </c>
      <c r="J153" s="37" t="str">
        <f t="shared" si="37"/>
        <v>-inf</v>
      </c>
      <c r="K153" s="37" t="s">
        <v>195</v>
      </c>
      <c r="L153" s="37">
        <v>0</v>
      </c>
      <c r="M153" s="37">
        <v>0</v>
      </c>
      <c r="N153" s="37">
        <v>1</v>
      </c>
      <c r="O153" s="37">
        <v>1</v>
      </c>
      <c r="P153" s="37">
        <v>0</v>
      </c>
      <c r="Q153" s="37">
        <v>0.01</v>
      </c>
      <c r="AE153" t="str">
        <f t="shared" si="38"/>
        <v>1;1</v>
      </c>
      <c r="AF153" t="str">
        <f t="shared" si="39"/>
        <v>1;1;1;1</v>
      </c>
      <c r="AG153" t="str">
        <f t="shared" si="40"/>
        <v>1;1;1;1;1;1;1;1</v>
      </c>
    </row>
    <row r="154" spans="1:34" x14ac:dyDescent="0.25">
      <c r="A154" t="str">
        <f>Master!A391</f>
        <v>R391</v>
      </c>
      <c r="B154" t="str">
        <f>Master!C391</f>
        <v xml:space="preserve">1 H2O + 1 methenyl-THF = 1 10-Formyltetrahydrofolate + 1 Proton </v>
      </c>
      <c r="C154" t="str">
        <f>Master!F391</f>
        <v>Y</v>
      </c>
      <c r="D154">
        <f>Master!M391</f>
        <v>1</v>
      </c>
      <c r="F154" s="37" t="str">
        <f t="shared" si="35"/>
        <v>R391</v>
      </c>
      <c r="G154" s="37" t="str">
        <f t="shared" si="36"/>
        <v xml:space="preserve">1 H2O + 1 methenyl-THF = 1 10-Formyltetrahydrofolate + 1 Proton </v>
      </c>
      <c r="H154" s="37" t="s">
        <v>1027</v>
      </c>
      <c r="I154" s="37" t="s">
        <v>1028</v>
      </c>
      <c r="J154" s="37" t="str">
        <f t="shared" si="37"/>
        <v>-inf</v>
      </c>
      <c r="K154" s="37" t="s">
        <v>195</v>
      </c>
      <c r="L154" s="37">
        <v>0</v>
      </c>
      <c r="M154" s="37">
        <v>0</v>
      </c>
      <c r="N154" s="37">
        <v>1</v>
      </c>
      <c r="O154" s="37">
        <v>1</v>
      </c>
      <c r="P154" s="37">
        <v>0</v>
      </c>
      <c r="Q154" s="37">
        <v>0.01</v>
      </c>
      <c r="AE154" t="str">
        <f t="shared" si="38"/>
        <v>1;1</v>
      </c>
    </row>
    <row r="155" spans="1:34" x14ac:dyDescent="0.25">
      <c r="A155" t="str">
        <f>Master!A393</f>
        <v>R393</v>
      </c>
      <c r="B155" t="str">
        <f>Master!C393</f>
        <v>1 myell_protein + 99 H2O = 6 L-Alanine + 0.7 L-Cysteine + 4.6 L-Aspartate + 7.2 L-Glutamate + 4.2 L-Phenylalanine + 7.5 Glycine + 1.5 L-Histidine + 6.5 L-Isoleucine + 6.1 L-Lysine + 11 L-Leucine + 2.4 L-Methionine + 3.6 L-Asparagine + 4.3 L-Proline + 2.3 L-Glutamine + 6.3 L-Arginine + 7 L-Serine + 4.9 L-Threonine + 9.1 L-Valine + 1.2 L-Tryptophan + 3.9 L-Tyrosine</v>
      </c>
      <c r="C155" t="str">
        <f>Master!F393</f>
        <v>N</v>
      </c>
      <c r="D155">
        <f>Master!M393</f>
        <v>1</v>
      </c>
      <c r="F155" s="37" t="str">
        <f t="shared" si="35"/>
        <v>R393</v>
      </c>
      <c r="G155" s="37" t="str">
        <f t="shared" si="36"/>
        <v>1 myell_protein + 99 H2O = 6 L-Alanine + 0.7 L-Cysteine + 4.6 L-Aspartate + 7.2 L-Glutamate + 4.2 L-Phenylalanine + 7.5 Glycine + 1.5 L-Histidine + 6.5 L-Isoleucine + 6.1 L-Lysine + 11 L-Leucine + 2.4 L-Methionine + 3.6 L-Asparagine + 4.3 L-Proline + 2.3 L-Glutamine + 6.3 L-Arginine + 7 L-Serine + 4.9 L-Threonine + 9.1 L-Valine + 1.2 L-Tryptophan + 3.9 L-Tyrosine</v>
      </c>
      <c r="H155" s="37" t="s">
        <v>1027</v>
      </c>
      <c r="I155" s="37" t="s">
        <v>1028</v>
      </c>
      <c r="J155" s="37" t="str">
        <f t="shared" si="37"/>
        <v>0</v>
      </c>
      <c r="K155" s="37" t="s">
        <v>195</v>
      </c>
      <c r="L155" s="37">
        <v>0</v>
      </c>
      <c r="M155" s="37">
        <v>0</v>
      </c>
      <c r="N155" s="37">
        <v>1</v>
      </c>
      <c r="O155" s="37">
        <v>1</v>
      </c>
      <c r="P155" s="37">
        <v>0</v>
      </c>
      <c r="Q155" s="37">
        <v>0.01</v>
      </c>
      <c r="AE155" t="str">
        <f t="shared" si="38"/>
        <v>1;1</v>
      </c>
    </row>
    <row r="156" spans="1:34" x14ac:dyDescent="0.25">
      <c r="A156" t="str">
        <f>Master!A396</f>
        <v>R396</v>
      </c>
      <c r="B156" t="str">
        <f>Master!C396</f>
        <v xml:space="preserve">2 Acetyl-CoA = 1 Acetoacetyl-CoA + 1 CoA </v>
      </c>
      <c r="C156" t="str">
        <f>Master!F396</f>
        <v>Y</v>
      </c>
      <c r="D156">
        <f>Master!M396</f>
        <v>1</v>
      </c>
      <c r="F156" s="37" t="str">
        <f t="shared" si="35"/>
        <v>R396</v>
      </c>
      <c r="G156" s="37" t="str">
        <f t="shared" si="36"/>
        <v xml:space="preserve">2 Acetyl-CoA = 1 Acetoacetyl-CoA + 1 CoA </v>
      </c>
      <c r="H156" s="37" t="s">
        <v>1027</v>
      </c>
      <c r="I156" s="37" t="s">
        <v>1028</v>
      </c>
      <c r="J156" s="37" t="str">
        <f t="shared" si="37"/>
        <v>-inf</v>
      </c>
      <c r="K156" s="37" t="s">
        <v>195</v>
      </c>
      <c r="L156" s="37">
        <v>0</v>
      </c>
      <c r="M156" s="37">
        <v>0</v>
      </c>
      <c r="N156" s="37">
        <v>1</v>
      </c>
      <c r="O156" s="37">
        <v>1</v>
      </c>
      <c r="P156" s="37">
        <v>0</v>
      </c>
      <c r="Q156" s="37">
        <v>0.01</v>
      </c>
      <c r="AE156" t="str">
        <f t="shared" si="38"/>
        <v>1;1</v>
      </c>
    </row>
    <row r="157" spans="1:34" x14ac:dyDescent="0.25">
      <c r="A157" t="str">
        <f>Master!A398</f>
        <v>R398</v>
      </c>
      <c r="B157" t="str">
        <f>Master!C398</f>
        <v xml:space="preserve">1 Acetoacetyl-CoA + 1 Acetyl-CoA + 1 H2O = 1 3-Hydroxy-3-methylglutaryl-CoA + 1 CoA + 1 Proton </v>
      </c>
      <c r="C157" t="str">
        <f>Master!F398</f>
        <v>Y</v>
      </c>
      <c r="D157">
        <f>Master!M398</f>
        <v>1</v>
      </c>
      <c r="F157" s="37" t="str">
        <f t="shared" si="35"/>
        <v>R398</v>
      </c>
      <c r="G157" s="37" t="str">
        <f t="shared" si="36"/>
        <v xml:space="preserve">1 Acetoacetyl-CoA + 1 Acetyl-CoA + 1 H2O = 1 3-Hydroxy-3-methylglutaryl-CoA + 1 CoA + 1 Proton </v>
      </c>
      <c r="H157" s="37" t="s">
        <v>1027</v>
      </c>
      <c r="I157" s="37" t="s">
        <v>1028</v>
      </c>
      <c r="J157" s="37" t="str">
        <f t="shared" si="37"/>
        <v>-inf</v>
      </c>
      <c r="K157" s="37" t="s">
        <v>195</v>
      </c>
      <c r="L157" s="37">
        <v>0</v>
      </c>
      <c r="M157" s="37">
        <v>0</v>
      </c>
      <c r="N157" s="37">
        <v>1</v>
      </c>
      <c r="O157" s="37">
        <v>1</v>
      </c>
      <c r="P157" s="37">
        <v>0</v>
      </c>
      <c r="Q157" s="37">
        <v>0.01</v>
      </c>
      <c r="AE157" t="str">
        <f t="shared" si="38"/>
        <v>1;1</v>
      </c>
      <c r="AF157" t="str">
        <f t="shared" si="39"/>
        <v>1;1;1;1</v>
      </c>
    </row>
    <row r="158" spans="1:34" x14ac:dyDescent="0.25">
      <c r="A158" t="str">
        <f>Master!A400</f>
        <v>R400</v>
      </c>
      <c r="B158" t="str">
        <f>Master!C400</f>
        <v xml:space="preserve">1 3-Hydroxy-3-methylglutaryl-CoA + 2 NADPH + 2 Proton = 1 CoA + 1 Mevalonate + 2 NADP </v>
      </c>
      <c r="C158" t="str">
        <f>Master!F400</f>
        <v>Y</v>
      </c>
      <c r="D158">
        <f>Master!M400</f>
        <v>1</v>
      </c>
      <c r="F158" s="37" t="str">
        <f t="shared" si="35"/>
        <v>R400</v>
      </c>
      <c r="G158" s="37" t="str">
        <f t="shared" si="36"/>
        <v xml:space="preserve">1 3-Hydroxy-3-methylglutaryl-CoA + 2 NADPH + 2 Proton = 1 CoA + 1 Mevalonate + 2 NADP </v>
      </c>
      <c r="H158" s="37" t="s">
        <v>1027</v>
      </c>
      <c r="I158" s="37" t="s">
        <v>1028</v>
      </c>
      <c r="J158" s="37" t="str">
        <f t="shared" si="37"/>
        <v>-inf</v>
      </c>
      <c r="K158" s="37" t="s">
        <v>195</v>
      </c>
      <c r="L158" s="37">
        <v>0</v>
      </c>
      <c r="M158" s="37">
        <v>0</v>
      </c>
      <c r="N158" s="37">
        <v>1</v>
      </c>
      <c r="O158" s="37">
        <v>1</v>
      </c>
      <c r="P158" s="37">
        <v>0</v>
      </c>
      <c r="Q158" s="37">
        <v>0.01</v>
      </c>
      <c r="AE158" t="str">
        <f t="shared" si="38"/>
        <v>1;1</v>
      </c>
    </row>
    <row r="159" spans="1:34" x14ac:dyDescent="0.25">
      <c r="A159" t="str">
        <f>Master!A402</f>
        <v>R402</v>
      </c>
      <c r="B159" t="str">
        <f>Master!C402</f>
        <v xml:space="preserve">1 ATP + 1 Mevalonate = 1 5-phosphomevalonate + 1 ADP + 1 Proton </v>
      </c>
      <c r="C159" t="str">
        <f>Master!F402</f>
        <v>N</v>
      </c>
      <c r="D159">
        <f>Master!M402</f>
        <v>1</v>
      </c>
      <c r="F159" s="37" t="str">
        <f t="shared" si="35"/>
        <v>R402</v>
      </c>
      <c r="G159" s="37" t="str">
        <f t="shared" si="36"/>
        <v xml:space="preserve">1 ATP + 1 Mevalonate = 1 5-phosphomevalonate + 1 ADP + 1 Proton </v>
      </c>
      <c r="H159" s="37" t="s">
        <v>1027</v>
      </c>
      <c r="I159" s="37" t="s">
        <v>1028</v>
      </c>
      <c r="J159" s="37" t="str">
        <f t="shared" si="37"/>
        <v>0</v>
      </c>
      <c r="K159" s="37" t="s">
        <v>195</v>
      </c>
      <c r="L159" s="37">
        <v>0</v>
      </c>
      <c r="M159" s="37">
        <v>0</v>
      </c>
      <c r="N159" s="37">
        <v>1</v>
      </c>
      <c r="O159" s="37">
        <v>1</v>
      </c>
      <c r="P159" s="37">
        <v>0</v>
      </c>
      <c r="Q159" s="37">
        <v>0.01</v>
      </c>
      <c r="AE159" t="str">
        <f t="shared" si="38"/>
        <v>1;1</v>
      </c>
    </row>
    <row r="160" spans="1:34" x14ac:dyDescent="0.25">
      <c r="A160" t="str">
        <f>Master!A404</f>
        <v>R404</v>
      </c>
      <c r="B160" t="str">
        <f>Master!C404</f>
        <v xml:space="preserve">1 5-phosphomevalonate + 1 ATP = 1 CO2 + 1 Phosphate + 1 ADP + 1 isopentenyl-phosphate </v>
      </c>
      <c r="C160" t="str">
        <f>Master!F404</f>
        <v>N</v>
      </c>
      <c r="D160">
        <f>Master!M404</f>
        <v>1</v>
      </c>
      <c r="F160" s="37" t="str">
        <f t="shared" si="35"/>
        <v>R404</v>
      </c>
      <c r="G160" s="37" t="str">
        <f t="shared" si="36"/>
        <v xml:space="preserve">1 5-phosphomevalonate + 1 ATP = 1 CO2 + 1 Phosphate + 1 ADP + 1 isopentenyl-phosphate </v>
      </c>
      <c r="H160" s="37" t="s">
        <v>1027</v>
      </c>
      <c r="I160" s="37" t="s">
        <v>1028</v>
      </c>
      <c r="J160" s="37" t="str">
        <f t="shared" si="37"/>
        <v>0</v>
      </c>
      <c r="K160" s="37" t="s">
        <v>195</v>
      </c>
      <c r="L160" s="37">
        <v>0</v>
      </c>
      <c r="M160" s="37">
        <v>0</v>
      </c>
      <c r="N160" s="37">
        <v>1</v>
      </c>
      <c r="O160" s="37">
        <v>1</v>
      </c>
      <c r="P160" s="37">
        <v>0</v>
      </c>
      <c r="Q160" s="37">
        <v>0.01</v>
      </c>
      <c r="AE160" t="str">
        <f t="shared" si="38"/>
        <v>1;1</v>
      </c>
    </row>
    <row r="161" spans="1:35" x14ac:dyDescent="0.25">
      <c r="A161" t="str">
        <f>Master!A406</f>
        <v>R406</v>
      </c>
      <c r="B161" t="str">
        <f>Master!C406</f>
        <v xml:space="preserve">1 ATP + 1 isopentenyl-phosphate = 1 ADP + 1 isopentenyl-diphosphate </v>
      </c>
      <c r="C161" t="str">
        <f>Master!F406</f>
        <v>N</v>
      </c>
      <c r="D161">
        <f>Master!M406</f>
        <v>1</v>
      </c>
      <c r="F161" s="37" t="str">
        <f t="shared" si="35"/>
        <v>R406</v>
      </c>
      <c r="G161" s="37" t="str">
        <f t="shared" si="36"/>
        <v xml:space="preserve">1 ATP + 1 isopentenyl-phosphate = 1 ADP + 1 isopentenyl-diphosphate </v>
      </c>
      <c r="H161" s="37" t="s">
        <v>1027</v>
      </c>
      <c r="I161" s="37" t="s">
        <v>1028</v>
      </c>
      <c r="J161" s="37" t="str">
        <f t="shared" si="37"/>
        <v>0</v>
      </c>
      <c r="K161" s="37" t="s">
        <v>195</v>
      </c>
      <c r="L161" s="37">
        <v>0</v>
      </c>
      <c r="M161" s="37">
        <v>0</v>
      </c>
      <c r="N161" s="37">
        <v>1</v>
      </c>
      <c r="O161" s="37">
        <v>1</v>
      </c>
      <c r="P161" s="37">
        <v>0</v>
      </c>
      <c r="Q161" s="37">
        <v>0.01</v>
      </c>
      <c r="AE161" t="str">
        <f t="shared" si="38"/>
        <v>1;1</v>
      </c>
      <c r="AF161" t="str">
        <f>CONCATENATE(AE161,$E$1,AE163)</f>
        <v>1;1;1;1</v>
      </c>
      <c r="AG161" t="str">
        <f>CONCATENATE(AF161,$E$1,AF165)</f>
        <v>1;1;1;1;1;1;1;1</v>
      </c>
      <c r="AH161" t="str">
        <f>CONCATENATE(AG161,$E$1,AG169)</f>
        <v>1;1;1;1;1;1;1;1;1;1;1;1;1;1;1;1</v>
      </c>
      <c r="AI161" t="str">
        <f>CONCATENATE(AH161,$E$1,AH177)</f>
        <v>1;1;1;1;1;1;1;1;1;1;1;1;1;1;1;1;1;1;1;4;4;1;1;1;1;1;1;1;1;1;1;1</v>
      </c>
    </row>
    <row r="162" spans="1:35" x14ac:dyDescent="0.25">
      <c r="A162" t="str">
        <f>Master!A408</f>
        <v>R408</v>
      </c>
      <c r="B162" t="str">
        <f>Master!C408</f>
        <v xml:space="preserve">1 isopentenyl-diphosphate = 1 dimethylallyl-diphosphate </v>
      </c>
      <c r="C162" t="str">
        <f>Master!F408</f>
        <v>Y</v>
      </c>
      <c r="D162">
        <f>Master!M408</f>
        <v>1</v>
      </c>
      <c r="F162" s="37" t="str">
        <f t="shared" si="35"/>
        <v>R408</v>
      </c>
      <c r="G162" s="37" t="str">
        <f t="shared" si="36"/>
        <v xml:space="preserve">1 isopentenyl-diphosphate = 1 dimethylallyl-diphosphate </v>
      </c>
      <c r="H162" s="37" t="s">
        <v>1027</v>
      </c>
      <c r="I162" s="37" t="s">
        <v>1028</v>
      </c>
      <c r="J162" s="37" t="str">
        <f t="shared" si="37"/>
        <v>-inf</v>
      </c>
      <c r="K162" s="37" t="s">
        <v>195</v>
      </c>
      <c r="L162" s="37">
        <v>0</v>
      </c>
      <c r="M162" s="37">
        <v>0</v>
      </c>
      <c r="N162" s="37">
        <v>1</v>
      </c>
      <c r="O162" s="37">
        <v>1</v>
      </c>
      <c r="P162" s="37">
        <v>0</v>
      </c>
      <c r="Q162" s="37">
        <v>0.01</v>
      </c>
      <c r="AE162" t="str">
        <f t="shared" si="38"/>
        <v>1;1</v>
      </c>
    </row>
    <row r="163" spans="1:35" x14ac:dyDescent="0.25">
      <c r="A163" t="str">
        <f>Master!A410</f>
        <v>R410</v>
      </c>
      <c r="B163" t="str">
        <f>Master!C410</f>
        <v xml:space="preserve">1 dimethylallyl-diphosphate + 1 isopentenyl-diphosphate = 1 geranyl-diphosphate + 1 PPi </v>
      </c>
      <c r="C163" t="str">
        <f>Master!F410</f>
        <v>N</v>
      </c>
      <c r="D163">
        <f>Master!M410</f>
        <v>1</v>
      </c>
      <c r="F163" s="37" t="str">
        <f t="shared" si="35"/>
        <v>R410</v>
      </c>
      <c r="G163" s="37" t="str">
        <f t="shared" si="36"/>
        <v xml:space="preserve">1 dimethylallyl-diphosphate + 1 isopentenyl-diphosphate = 1 geranyl-diphosphate + 1 PPi </v>
      </c>
      <c r="H163" s="37" t="s">
        <v>1027</v>
      </c>
      <c r="I163" s="37" t="s">
        <v>1028</v>
      </c>
      <c r="J163" s="37" t="str">
        <f t="shared" si="37"/>
        <v>0</v>
      </c>
      <c r="K163" s="37" t="s">
        <v>195</v>
      </c>
      <c r="L163" s="37">
        <v>0</v>
      </c>
      <c r="M163" s="37">
        <v>0</v>
      </c>
      <c r="N163" s="37">
        <v>1</v>
      </c>
      <c r="O163" s="37">
        <v>1</v>
      </c>
      <c r="P163" s="37">
        <v>0</v>
      </c>
      <c r="Q163" s="37">
        <v>0.01</v>
      </c>
      <c r="AE163" t="str">
        <f t="shared" si="38"/>
        <v>1;1</v>
      </c>
    </row>
    <row r="164" spans="1:35" x14ac:dyDescent="0.25">
      <c r="A164" t="str">
        <f>Master!A412</f>
        <v>R412</v>
      </c>
      <c r="B164" t="str">
        <f>Master!C412</f>
        <v xml:space="preserve">1 geranyl-diphosphate + 1 isopentenyl-diphosphate = 1 farnesyl-diphosphate + 1 PPi </v>
      </c>
      <c r="C164" t="str">
        <f>Master!F412</f>
        <v>N</v>
      </c>
      <c r="D164">
        <f>Master!M412</f>
        <v>1</v>
      </c>
      <c r="F164" s="37" t="str">
        <f t="shared" si="35"/>
        <v>R412</v>
      </c>
      <c r="G164" s="37" t="str">
        <f t="shared" si="36"/>
        <v xml:space="preserve">1 geranyl-diphosphate + 1 isopentenyl-diphosphate = 1 farnesyl-diphosphate + 1 PPi </v>
      </c>
      <c r="H164" s="37" t="s">
        <v>1027</v>
      </c>
      <c r="I164" s="37" t="s">
        <v>1028</v>
      </c>
      <c r="J164" s="37" t="str">
        <f t="shared" si="37"/>
        <v>0</v>
      </c>
      <c r="K164" s="37" t="s">
        <v>195</v>
      </c>
      <c r="L164" s="37">
        <v>0</v>
      </c>
      <c r="M164" s="37">
        <v>0</v>
      </c>
      <c r="N164" s="37">
        <v>1</v>
      </c>
      <c r="O164" s="37">
        <v>1</v>
      </c>
      <c r="P164" s="37">
        <v>0</v>
      </c>
      <c r="Q164" s="37">
        <v>0.01</v>
      </c>
      <c r="AE164" t="str">
        <f t="shared" si="38"/>
        <v>1;1</v>
      </c>
    </row>
    <row r="165" spans="1:35" x14ac:dyDescent="0.25">
      <c r="A165" t="str">
        <f>Master!A414</f>
        <v>R414</v>
      </c>
      <c r="B165" t="str">
        <f>Master!C414</f>
        <v xml:space="preserve">1 farnesyl-diphosphate + 1 isopentenyl-diphosphate = 1 geranyl-geranyl-diphosphate + 1 PPi </v>
      </c>
      <c r="C165" t="str">
        <f>Master!F414</f>
        <v>N</v>
      </c>
      <c r="D165">
        <f>Master!M414</f>
        <v>1</v>
      </c>
      <c r="F165" s="37" t="str">
        <f t="shared" si="35"/>
        <v>R414</v>
      </c>
      <c r="G165" s="37" t="str">
        <f t="shared" si="36"/>
        <v xml:space="preserve">1 farnesyl-diphosphate + 1 isopentenyl-diphosphate = 1 geranyl-geranyl-diphosphate + 1 PPi </v>
      </c>
      <c r="H165" s="37" t="s">
        <v>1027</v>
      </c>
      <c r="I165" s="37" t="s">
        <v>1028</v>
      </c>
      <c r="J165" s="37" t="str">
        <f t="shared" si="37"/>
        <v>0</v>
      </c>
      <c r="K165" s="37" t="s">
        <v>195</v>
      </c>
      <c r="L165" s="37">
        <v>0</v>
      </c>
      <c r="M165" s="37">
        <v>0</v>
      </c>
      <c r="N165" s="37">
        <v>1</v>
      </c>
      <c r="O165" s="37">
        <v>1</v>
      </c>
      <c r="P165" s="37">
        <v>0</v>
      </c>
      <c r="Q165" s="37">
        <v>0.01</v>
      </c>
      <c r="AE165" t="str">
        <f t="shared" si="38"/>
        <v>1;1</v>
      </c>
      <c r="AF165" t="str">
        <f t="shared" si="39"/>
        <v>1;1;1;1</v>
      </c>
    </row>
    <row r="166" spans="1:35" x14ac:dyDescent="0.25">
      <c r="A166" t="str">
        <f>Master!A416</f>
        <v>R416</v>
      </c>
      <c r="B166" t="str">
        <f>Master!C416</f>
        <v xml:space="preserve">1 geranyl-geranyl-diphosphate + 1 isopentenyl-diphosphate = 1 farnesyl-geranyl-diphosphate + 1 PPi </v>
      </c>
      <c r="C166" t="str">
        <f>Master!F416</f>
        <v>N</v>
      </c>
      <c r="D166">
        <f>Master!M416</f>
        <v>1</v>
      </c>
      <c r="F166" s="37" t="str">
        <f t="shared" si="35"/>
        <v>R416</v>
      </c>
      <c r="G166" s="37" t="str">
        <f t="shared" si="36"/>
        <v xml:space="preserve">1 geranyl-geranyl-diphosphate + 1 isopentenyl-diphosphate = 1 farnesyl-geranyl-diphosphate + 1 PPi </v>
      </c>
      <c r="H166" s="37" t="s">
        <v>1027</v>
      </c>
      <c r="I166" s="37" t="s">
        <v>1028</v>
      </c>
      <c r="J166" s="37" t="str">
        <f t="shared" si="37"/>
        <v>0</v>
      </c>
      <c r="K166" s="37" t="s">
        <v>195</v>
      </c>
      <c r="L166" s="37">
        <v>0</v>
      </c>
      <c r="M166" s="37">
        <v>0</v>
      </c>
      <c r="N166" s="37">
        <v>1</v>
      </c>
      <c r="O166" s="37">
        <v>1</v>
      </c>
      <c r="P166" s="37">
        <v>0</v>
      </c>
      <c r="Q166" s="37">
        <v>0.01</v>
      </c>
      <c r="AE166" t="str">
        <f t="shared" si="38"/>
        <v>1;1</v>
      </c>
    </row>
    <row r="167" spans="1:35" x14ac:dyDescent="0.25">
      <c r="A167" t="str">
        <f>Master!A418</f>
        <v>R418</v>
      </c>
      <c r="B167" t="str">
        <f>Master!C418</f>
        <v xml:space="preserve">1 farnesyl-geranyl-diphosphate + 1 sn-glycerol-1-P = 1 C25 + 1 PPi </v>
      </c>
      <c r="C167" t="str">
        <f>Master!F418</f>
        <v>N</v>
      </c>
      <c r="D167">
        <f>Master!M418</f>
        <v>1</v>
      </c>
      <c r="F167" s="37" t="str">
        <f t="shared" si="35"/>
        <v>R418</v>
      </c>
      <c r="G167" s="37" t="str">
        <f t="shared" si="36"/>
        <v xml:space="preserve">1 farnesyl-geranyl-diphosphate + 1 sn-glycerol-1-P = 1 C25 + 1 PPi </v>
      </c>
      <c r="H167" s="37" t="s">
        <v>1027</v>
      </c>
      <c r="I167" s="37" t="s">
        <v>1028</v>
      </c>
      <c r="J167" s="37" t="str">
        <f t="shared" si="37"/>
        <v>0</v>
      </c>
      <c r="K167" s="37" t="s">
        <v>195</v>
      </c>
      <c r="L167" s="37">
        <v>0</v>
      </c>
      <c r="M167" s="37">
        <v>0</v>
      </c>
      <c r="N167" s="37">
        <v>1</v>
      </c>
      <c r="O167" s="37">
        <v>1</v>
      </c>
      <c r="P167" s="37">
        <v>0</v>
      </c>
      <c r="Q167" s="37">
        <v>0.01</v>
      </c>
      <c r="AE167" t="str">
        <f t="shared" si="38"/>
        <v>1;1</v>
      </c>
    </row>
    <row r="168" spans="1:35" x14ac:dyDescent="0.25">
      <c r="A168" t="str">
        <f>Master!A420</f>
        <v>R420</v>
      </c>
      <c r="B168" t="str">
        <f>Master!C420</f>
        <v xml:space="preserve">1 C25 + 1 farnesyl-geranyl-diphosphate = 1 C25-C25 + 1 PPi </v>
      </c>
      <c r="C168" t="str">
        <f>Master!F420</f>
        <v>N</v>
      </c>
      <c r="D168">
        <f>Master!M420</f>
        <v>1</v>
      </c>
      <c r="F168" s="37" t="str">
        <f t="shared" si="35"/>
        <v>R420</v>
      </c>
      <c r="G168" s="37" t="str">
        <f t="shared" si="36"/>
        <v xml:space="preserve">1 C25 + 1 farnesyl-geranyl-diphosphate = 1 C25-C25 + 1 PPi </v>
      </c>
      <c r="H168" s="37" t="s">
        <v>1027</v>
      </c>
      <c r="I168" s="37" t="s">
        <v>1028</v>
      </c>
      <c r="J168" s="37" t="str">
        <f t="shared" si="37"/>
        <v>0</v>
      </c>
      <c r="K168" s="37" t="s">
        <v>195</v>
      </c>
      <c r="L168" s="37">
        <v>0</v>
      </c>
      <c r="M168" s="37">
        <v>0</v>
      </c>
      <c r="N168" s="37">
        <v>1</v>
      </c>
      <c r="O168" s="37">
        <v>1</v>
      </c>
      <c r="P168" s="37">
        <v>0</v>
      </c>
      <c r="Q168" s="37">
        <v>0.01</v>
      </c>
      <c r="AE168" t="str">
        <f t="shared" si="38"/>
        <v>1;1</v>
      </c>
    </row>
    <row r="169" spans="1:35" x14ac:dyDescent="0.25">
      <c r="A169" t="str">
        <f>Master!A422</f>
        <v>R422</v>
      </c>
      <c r="B169" t="str">
        <f>Master!C422</f>
        <v xml:space="preserve">1 DHAP + 1 NADH + 1 Proton = 1 NAD + 1 sn-glycerol-1-P </v>
      </c>
      <c r="C169" t="str">
        <f>Master!F422</f>
        <v>Y</v>
      </c>
      <c r="D169">
        <f>Master!M422</f>
        <v>1</v>
      </c>
      <c r="F169" s="37" t="str">
        <f t="shared" si="35"/>
        <v>R422</v>
      </c>
      <c r="G169" s="37" t="str">
        <f t="shared" si="36"/>
        <v xml:space="preserve">1 DHAP + 1 NADH + 1 Proton = 1 NAD + 1 sn-glycerol-1-P </v>
      </c>
      <c r="H169" s="37" t="s">
        <v>1027</v>
      </c>
      <c r="I169" s="37" t="s">
        <v>1028</v>
      </c>
      <c r="J169" s="37" t="str">
        <f t="shared" si="37"/>
        <v>-inf</v>
      </c>
      <c r="K169" s="37" t="s">
        <v>195</v>
      </c>
      <c r="L169" s="37">
        <v>0</v>
      </c>
      <c r="M169" s="37">
        <v>0</v>
      </c>
      <c r="N169" s="37">
        <v>1</v>
      </c>
      <c r="O169" s="37">
        <v>1</v>
      </c>
      <c r="P169" s="37">
        <v>0</v>
      </c>
      <c r="Q169" s="37">
        <v>0.01</v>
      </c>
      <c r="AE169" t="str">
        <f t="shared" si="38"/>
        <v>1;1</v>
      </c>
      <c r="AF169" t="str">
        <f t="shared" si="39"/>
        <v>1;1;1;1</v>
      </c>
      <c r="AG169" t="str">
        <f t="shared" si="40"/>
        <v>1;1;1;1;1;1;1;1</v>
      </c>
    </row>
    <row r="170" spans="1:35" x14ac:dyDescent="0.25">
      <c r="A170" t="str">
        <f>Master!A424</f>
        <v>R424</v>
      </c>
      <c r="B170" t="str">
        <f>Master!C424</f>
        <v>caldarchaeol_di-P + 2 NADH + 2 Proton = 2 2_3-bis-O-phytanyl-sn-glycerol_1-phosphate + 2 NAD</v>
      </c>
      <c r="C170" t="str">
        <f>Master!F424</f>
        <v>N</v>
      </c>
      <c r="D170">
        <f>Master!M424</f>
        <v>1</v>
      </c>
      <c r="F170" s="37" t="str">
        <f t="shared" si="35"/>
        <v>R424</v>
      </c>
      <c r="G170" s="37" t="str">
        <f t="shared" si="36"/>
        <v>caldarchaeol_di-P + 2 NADH + 2 Proton = 2 2_3-bis-O-phytanyl-sn-glycerol_1-phosphate + 2 NAD</v>
      </c>
      <c r="H170" s="37" t="s">
        <v>1027</v>
      </c>
      <c r="I170" s="37" t="s">
        <v>1028</v>
      </c>
      <c r="J170" s="37" t="str">
        <f t="shared" si="37"/>
        <v>0</v>
      </c>
      <c r="K170" s="37" t="s">
        <v>195</v>
      </c>
      <c r="L170" s="37">
        <v>0</v>
      </c>
      <c r="M170" s="37">
        <v>0</v>
      </c>
      <c r="N170" s="37">
        <v>1</v>
      </c>
      <c r="O170" s="37">
        <v>1</v>
      </c>
      <c r="P170" s="37">
        <v>0</v>
      </c>
      <c r="Q170" s="37">
        <v>0.01</v>
      </c>
      <c r="AE170" t="str">
        <f t="shared" si="38"/>
        <v>1;1</v>
      </c>
    </row>
    <row r="171" spans="1:35" x14ac:dyDescent="0.25">
      <c r="A171" t="str">
        <f>Master!A426</f>
        <v>R426</v>
      </c>
      <c r="B171" t="str">
        <f>Master!C426</f>
        <v>2_3-bis-O-phytanyl-sn-glycerol_1-phosphate  + 2 tetrahydrobiopterin + 2 O2 = 2 6_7_8-dihydrobiopterin + 2 H2O + 1 sn-glycerol-1-P + 2 phytanal</v>
      </c>
      <c r="C171" t="str">
        <f>Master!F426</f>
        <v>N</v>
      </c>
      <c r="D171">
        <f>Master!M426</f>
        <v>1</v>
      </c>
      <c r="F171" s="37" t="str">
        <f t="shared" si="35"/>
        <v>R426</v>
      </c>
      <c r="G171" s="37" t="str">
        <f t="shared" si="36"/>
        <v>2_3-bis-O-phytanyl-sn-glycerol_1-phosphate  + 2 tetrahydrobiopterin + 2 O2 = 2 6_7_8-dihydrobiopterin + 2 H2O + 1 sn-glycerol-1-P + 2 phytanal</v>
      </c>
      <c r="H171" s="37" t="s">
        <v>1027</v>
      </c>
      <c r="I171" s="37" t="s">
        <v>1028</v>
      </c>
      <c r="J171" s="37" t="str">
        <f t="shared" si="37"/>
        <v>0</v>
      </c>
      <c r="K171" s="37" t="s">
        <v>195</v>
      </c>
      <c r="L171" s="37">
        <v>0</v>
      </c>
      <c r="M171" s="37">
        <v>0</v>
      </c>
      <c r="N171" s="37">
        <v>1</v>
      </c>
      <c r="O171" s="37">
        <v>1</v>
      </c>
      <c r="P171" s="37">
        <v>0</v>
      </c>
      <c r="Q171" s="37">
        <v>0.01</v>
      </c>
      <c r="AE171" t="str">
        <f t="shared" si="38"/>
        <v>1;1</v>
      </c>
    </row>
    <row r="172" spans="1:35" x14ac:dyDescent="0.25">
      <c r="A172" t="str">
        <f>Master!A428</f>
        <v>R428</v>
      </c>
      <c r="B172" t="str">
        <f>Master!C428</f>
        <v>6_7_8-dihydrobiopterin + NADH + Proton = NAD + tetrahydrobiopterin</v>
      </c>
      <c r="C172" t="str">
        <f>Master!F428</f>
        <v>N</v>
      </c>
      <c r="D172">
        <f>Master!M428</f>
        <v>1</v>
      </c>
      <c r="F172" s="37" t="str">
        <f t="shared" si="35"/>
        <v>R428</v>
      </c>
      <c r="G172" s="37" t="str">
        <f t="shared" si="36"/>
        <v>6_7_8-dihydrobiopterin + NADH + Proton = NAD + tetrahydrobiopterin</v>
      </c>
      <c r="H172" s="37" t="s">
        <v>1027</v>
      </c>
      <c r="I172" s="37" t="s">
        <v>1028</v>
      </c>
      <c r="J172" s="37" t="str">
        <f t="shared" si="37"/>
        <v>0</v>
      </c>
      <c r="K172" s="37" t="s">
        <v>195</v>
      </c>
      <c r="L172" s="37">
        <v>0</v>
      </c>
      <c r="M172" s="37">
        <v>0</v>
      </c>
      <c r="N172" s="37">
        <v>1</v>
      </c>
      <c r="O172" s="37">
        <v>1</v>
      </c>
      <c r="P172" s="37">
        <v>0</v>
      </c>
      <c r="Q172" s="37">
        <v>0.01</v>
      </c>
      <c r="AE172" t="str">
        <f t="shared" si="38"/>
        <v>1;1</v>
      </c>
    </row>
    <row r="173" spans="1:35" x14ac:dyDescent="0.25">
      <c r="A173" t="str">
        <f>Master!A430</f>
        <v>R430</v>
      </c>
      <c r="B173" t="str">
        <f>Master!C430</f>
        <v>phytanal + H2O + NAD = NADH + 2 Proton + phytanic_acid</v>
      </c>
      <c r="C173" t="str">
        <f>Master!F430</f>
        <v>N</v>
      </c>
      <c r="D173">
        <f>Master!M430</f>
        <v>1</v>
      </c>
      <c r="F173" s="37" t="str">
        <f t="shared" si="35"/>
        <v>R430</v>
      </c>
      <c r="G173" s="37" t="str">
        <f t="shared" si="36"/>
        <v>phytanal + H2O + NAD = NADH + 2 Proton + phytanic_acid</v>
      </c>
      <c r="H173" s="37" t="s">
        <v>1027</v>
      </c>
      <c r="I173" s="37" t="s">
        <v>1028</v>
      </c>
      <c r="J173" s="37" t="str">
        <f t="shared" si="37"/>
        <v>0</v>
      </c>
      <c r="K173" s="37" t="s">
        <v>195</v>
      </c>
      <c r="L173" s="37">
        <v>0</v>
      </c>
      <c r="M173" s="37">
        <v>0</v>
      </c>
      <c r="N173" s="37">
        <v>1</v>
      </c>
      <c r="O173" s="37">
        <v>1</v>
      </c>
      <c r="P173" s="37">
        <v>0</v>
      </c>
      <c r="Q173" s="37">
        <v>0.01</v>
      </c>
      <c r="AE173" t="str">
        <f t="shared" si="38"/>
        <v>1;1</v>
      </c>
      <c r="AF173" t="str">
        <f t="shared" si="39"/>
        <v>1;1;1;1</v>
      </c>
    </row>
    <row r="174" spans="1:35" x14ac:dyDescent="0.25">
      <c r="A174" t="str">
        <f>Master!A432</f>
        <v>R432</v>
      </c>
      <c r="B174" t="str">
        <f>Master!C432</f>
        <v>phytanic_acid + ATP + CoA = PPi + AMP + phytanoyl_CoA</v>
      </c>
      <c r="C174" t="str">
        <f>Master!F432</f>
        <v>N</v>
      </c>
      <c r="D174">
        <f>Master!M432</f>
        <v>1</v>
      </c>
      <c r="F174" s="37" t="str">
        <f t="shared" si="35"/>
        <v>R432</v>
      </c>
      <c r="G174" s="37" t="str">
        <f t="shared" si="36"/>
        <v>phytanic_acid + ATP + CoA = PPi + AMP + phytanoyl_CoA</v>
      </c>
      <c r="H174" s="37" t="s">
        <v>1027</v>
      </c>
      <c r="I174" s="37" t="s">
        <v>1028</v>
      </c>
      <c r="J174" s="37" t="str">
        <f t="shared" si="37"/>
        <v>0</v>
      </c>
      <c r="K174" s="37" t="s">
        <v>195</v>
      </c>
      <c r="L174" s="37">
        <v>0</v>
      </c>
      <c r="M174" s="37">
        <v>0</v>
      </c>
      <c r="N174" s="37">
        <v>1</v>
      </c>
      <c r="O174" s="37">
        <v>1</v>
      </c>
      <c r="P174" s="37">
        <v>0</v>
      </c>
      <c r="Q174" s="37">
        <v>0.01</v>
      </c>
      <c r="AE174" t="str">
        <f t="shared" si="38"/>
        <v>1;1</v>
      </c>
    </row>
    <row r="175" spans="1:35" x14ac:dyDescent="0.25">
      <c r="A175" t="str">
        <f>Master!A434</f>
        <v>R434</v>
      </c>
      <c r="B175" t="str">
        <f>Master!C434</f>
        <v>phytanoyl_CoA + O2 + 2-Oxoglutarate = CO2 + Succinate + 2-hydroxyphytanoyl-CoA</v>
      </c>
      <c r="C175" t="str">
        <f>Master!F434</f>
        <v>N</v>
      </c>
      <c r="D175">
        <f>Master!M434</f>
        <v>1</v>
      </c>
      <c r="F175" s="37" t="str">
        <f t="shared" si="35"/>
        <v>R434</v>
      </c>
      <c r="G175" s="37" t="str">
        <f t="shared" si="36"/>
        <v>phytanoyl_CoA + O2 + 2-Oxoglutarate = CO2 + Succinate + 2-hydroxyphytanoyl-CoA</v>
      </c>
      <c r="H175" s="37" t="s">
        <v>1027</v>
      </c>
      <c r="I175" s="37" t="s">
        <v>1028</v>
      </c>
      <c r="J175" s="37" t="str">
        <f t="shared" si="37"/>
        <v>0</v>
      </c>
      <c r="K175" s="37" t="s">
        <v>195</v>
      </c>
      <c r="L175" s="37">
        <v>0</v>
      </c>
      <c r="M175" s="37">
        <v>0</v>
      </c>
      <c r="N175" s="37">
        <v>1</v>
      </c>
      <c r="O175" s="37">
        <v>1</v>
      </c>
      <c r="P175" s="37">
        <v>0</v>
      </c>
      <c r="Q175" s="37">
        <v>0.01</v>
      </c>
      <c r="AE175" t="str">
        <f t="shared" si="38"/>
        <v>1;1</v>
      </c>
    </row>
    <row r="176" spans="1:35" x14ac:dyDescent="0.25">
      <c r="A176" t="str">
        <f>Master!A436</f>
        <v>R436</v>
      </c>
      <c r="B176" t="str">
        <f>Master!C436</f>
        <v>2-hydroxyphytanoyl-CoA = formyl-CoA + pristanal</v>
      </c>
      <c r="C176" t="str">
        <f>Master!F436</f>
        <v>N</v>
      </c>
      <c r="D176">
        <f>Master!M436</f>
        <v>1</v>
      </c>
      <c r="F176" s="37" t="str">
        <f t="shared" si="35"/>
        <v>R436</v>
      </c>
      <c r="G176" s="37" t="str">
        <f t="shared" si="36"/>
        <v>2-hydroxyphytanoyl-CoA = formyl-CoA + pristanal</v>
      </c>
      <c r="H176" s="37" t="s">
        <v>1027</v>
      </c>
      <c r="I176" s="37" t="s">
        <v>1028</v>
      </c>
      <c r="J176" s="37" t="str">
        <f t="shared" si="37"/>
        <v>0</v>
      </c>
      <c r="K176" s="37" t="s">
        <v>195</v>
      </c>
      <c r="L176" s="37">
        <v>0</v>
      </c>
      <c r="M176" s="37">
        <v>0</v>
      </c>
      <c r="N176" s="37">
        <v>1</v>
      </c>
      <c r="O176" s="37">
        <v>1</v>
      </c>
      <c r="P176" s="37">
        <v>0</v>
      </c>
      <c r="Q176" s="37">
        <v>0.01</v>
      </c>
      <c r="AE176" t="str">
        <f t="shared" si="38"/>
        <v>1;1</v>
      </c>
    </row>
    <row r="177" spans="1:34" x14ac:dyDescent="0.25">
      <c r="A177" t="str">
        <f>Master!A438</f>
        <v>R438</v>
      </c>
      <c r="B177" t="str">
        <f>Master!C438</f>
        <v>formyl-CoA + H2O = Proton + CoA + formate</v>
      </c>
      <c r="C177" t="str">
        <f>Master!F438</f>
        <v>N</v>
      </c>
      <c r="D177">
        <f>Master!M438</f>
        <v>1</v>
      </c>
      <c r="F177" s="37" t="str">
        <f t="shared" si="35"/>
        <v>R438</v>
      </c>
      <c r="G177" s="37" t="str">
        <f t="shared" si="36"/>
        <v>formyl-CoA + H2O = Proton + CoA + formate</v>
      </c>
      <c r="H177" s="37" t="s">
        <v>1027</v>
      </c>
      <c r="I177" s="37" t="s">
        <v>1028</v>
      </c>
      <c r="J177" s="37" t="str">
        <f t="shared" si="37"/>
        <v>0</v>
      </c>
      <c r="K177" s="37" t="s">
        <v>195</v>
      </c>
      <c r="L177" s="37">
        <v>0</v>
      </c>
      <c r="M177" s="37">
        <v>0</v>
      </c>
      <c r="N177" s="37">
        <v>1</v>
      </c>
      <c r="O177" s="37">
        <v>1</v>
      </c>
      <c r="P177" s="37">
        <v>0</v>
      </c>
      <c r="Q177" s="37">
        <v>0.01</v>
      </c>
      <c r="AE177" t="str">
        <f t="shared" si="38"/>
        <v>1;1</v>
      </c>
      <c r="AF177" t="str">
        <f>CONCATENATE(AE177,$E$1,AE179)</f>
        <v>1;1;1;4</v>
      </c>
      <c r="AG177" t="str">
        <f>CONCATENATE(AF177,$E$1,AF181)</f>
        <v>1;1;1;4;4;1;1;1</v>
      </c>
      <c r="AH177" t="str">
        <f>CONCATENATE(AG177,$E$1,AG185)</f>
        <v>1;1;1;4;4;1;1;1;1;1;1;1;1;1;1;1</v>
      </c>
    </row>
    <row r="178" spans="1:34" x14ac:dyDescent="0.25">
      <c r="A178" t="str">
        <f>Master!A440</f>
        <v>R440</v>
      </c>
      <c r="B178" t="str">
        <f>Master!C440</f>
        <v>pristanal + H2O + NAD = 2 Proton + NADH + pristanic_acid</v>
      </c>
      <c r="C178" t="str">
        <f>Master!F440</f>
        <v>N</v>
      </c>
      <c r="D178">
        <f>Master!M440</f>
        <v>1</v>
      </c>
      <c r="F178" s="37" t="str">
        <f t="shared" si="35"/>
        <v>R440</v>
      </c>
      <c r="G178" s="37" t="str">
        <f t="shared" si="36"/>
        <v>pristanal + H2O + NAD = 2 Proton + NADH + pristanic_acid</v>
      </c>
      <c r="H178" s="37" t="s">
        <v>1027</v>
      </c>
      <c r="I178" s="37" t="s">
        <v>1028</v>
      </c>
      <c r="J178" s="37" t="str">
        <f t="shared" si="37"/>
        <v>0</v>
      </c>
      <c r="K178" s="37" t="s">
        <v>195</v>
      </c>
      <c r="L178" s="37">
        <v>0</v>
      </c>
      <c r="M178" s="37">
        <v>0</v>
      </c>
      <c r="N178" s="37">
        <v>1</v>
      </c>
      <c r="O178" s="37">
        <v>1</v>
      </c>
      <c r="P178" s="37">
        <v>0</v>
      </c>
      <c r="Q178" s="37">
        <v>0.01</v>
      </c>
      <c r="AE178" t="str">
        <f t="shared" si="38"/>
        <v>1;1</v>
      </c>
    </row>
    <row r="179" spans="1:34" x14ac:dyDescent="0.25">
      <c r="A179" t="str">
        <f>Master!A442</f>
        <v>R442</v>
      </c>
      <c r="B179" t="str">
        <f>Master!C442</f>
        <v>pristanic_acid + ATP + CoA = pristanoyl_CoA + AMP + PPi</v>
      </c>
      <c r="C179" t="str">
        <f>Master!F442</f>
        <v>N</v>
      </c>
      <c r="D179">
        <f>Master!M442</f>
        <v>1</v>
      </c>
      <c r="F179" s="37" t="str">
        <f t="shared" si="35"/>
        <v>R442</v>
      </c>
      <c r="G179" s="37" t="str">
        <f t="shared" si="36"/>
        <v>pristanic_acid + ATP + CoA = pristanoyl_CoA + AMP + PPi</v>
      </c>
      <c r="H179" s="37" t="s">
        <v>1027</v>
      </c>
      <c r="I179" s="37" t="s">
        <v>1028</v>
      </c>
      <c r="J179" s="37" t="str">
        <f t="shared" si="37"/>
        <v>0</v>
      </c>
      <c r="K179" s="37" t="s">
        <v>195</v>
      </c>
      <c r="L179" s="37">
        <v>0</v>
      </c>
      <c r="M179" s="37">
        <v>0</v>
      </c>
      <c r="N179" s="37">
        <v>1</v>
      </c>
      <c r="O179" s="37">
        <v>1</v>
      </c>
      <c r="P179" s="37">
        <v>0</v>
      </c>
      <c r="Q179" s="37">
        <v>0.01</v>
      </c>
      <c r="AE179" t="str">
        <f t="shared" si="38"/>
        <v>1;4</v>
      </c>
    </row>
    <row r="180" spans="1:34" x14ac:dyDescent="0.25">
      <c r="A180" t="str">
        <f>Master!A444</f>
        <v>R444</v>
      </c>
      <c r="B180" t="str">
        <f>Master!C444</f>
        <v>pristanoyl_CoA + 6 FAD + 6 H2O + 6 NAD + 6 CoA = 3 propanoyl-CoA + 3 Acetyl-CoA + isobutyryl-CoA + 6 NADH + 6 FADH2 + 6 Proton</v>
      </c>
      <c r="C180" t="str">
        <f>Master!F444</f>
        <v>N</v>
      </c>
      <c r="D180">
        <f>Master!M444</f>
        <v>4</v>
      </c>
      <c r="F180" s="37" t="str">
        <f t="shared" si="35"/>
        <v>R444</v>
      </c>
      <c r="G180" s="37" t="str">
        <f t="shared" si="36"/>
        <v>pristanoyl_CoA + 6 FAD + 6 H2O + 6 NAD + 6 CoA = 3 propanoyl-CoA + 3 Acetyl-CoA + isobutyryl-CoA + 6 NADH + 6 FADH2 + 6 Proton</v>
      </c>
      <c r="H180" s="37" t="s">
        <v>1027</v>
      </c>
      <c r="I180" s="37" t="s">
        <v>1028</v>
      </c>
      <c r="J180" s="37" t="str">
        <f t="shared" si="37"/>
        <v>0</v>
      </c>
      <c r="K180" s="37" t="s">
        <v>195</v>
      </c>
      <c r="L180" s="37">
        <v>0</v>
      </c>
      <c r="M180" s="37">
        <v>0</v>
      </c>
      <c r="N180" s="37">
        <v>1</v>
      </c>
      <c r="O180" s="37">
        <v>1</v>
      </c>
      <c r="P180" s="37">
        <v>0</v>
      </c>
      <c r="Q180" s="37">
        <v>0.01</v>
      </c>
      <c r="AE180" t="str">
        <f t="shared" si="38"/>
        <v>4;4</v>
      </c>
    </row>
    <row r="181" spans="1:34" x14ac:dyDescent="0.25">
      <c r="A181" t="str">
        <f>Master!A450</f>
        <v>R450</v>
      </c>
      <c r="B181" t="str">
        <f>Master!C450</f>
        <v xml:space="preserve">1 H2O + 1 Oxaloacetate + 1 propanoyl-CoA = 1 CoA + 1 Proton + 1 Pyruvate + 1 Succinate </v>
      </c>
      <c r="C181" t="str">
        <f>Master!F450</f>
        <v>N</v>
      </c>
      <c r="D181">
        <f>Master!M450</f>
        <v>4</v>
      </c>
      <c r="F181" s="37" t="str">
        <f t="shared" si="35"/>
        <v>R450</v>
      </c>
      <c r="G181" s="37" t="str">
        <f t="shared" si="36"/>
        <v xml:space="preserve">1 H2O + 1 Oxaloacetate + 1 propanoyl-CoA = 1 CoA + 1 Proton + 1 Pyruvate + 1 Succinate </v>
      </c>
      <c r="H181" s="37" t="s">
        <v>1027</v>
      </c>
      <c r="I181" s="37" t="s">
        <v>1028</v>
      </c>
      <c r="J181" s="37" t="str">
        <f t="shared" si="37"/>
        <v>0</v>
      </c>
      <c r="K181" s="37" t="s">
        <v>195</v>
      </c>
      <c r="L181" s="37">
        <v>0</v>
      </c>
      <c r="M181" s="37">
        <v>0</v>
      </c>
      <c r="N181" s="37">
        <v>1</v>
      </c>
      <c r="O181" s="37">
        <v>1</v>
      </c>
      <c r="P181" s="37">
        <v>0</v>
      </c>
      <c r="Q181" s="37">
        <v>0.01</v>
      </c>
      <c r="AE181" t="str">
        <f t="shared" si="38"/>
        <v>4;1</v>
      </c>
      <c r="AF181" t="str">
        <f t="shared" si="39"/>
        <v>4;1;1;1</v>
      </c>
    </row>
    <row r="182" spans="1:34" x14ac:dyDescent="0.25">
      <c r="A182" t="str">
        <f>Master!A457</f>
        <v>R457</v>
      </c>
      <c r="B182" t="str">
        <f>Master!C457</f>
        <v xml:space="preserve">1 Carbamoylphosphate + 1 L-Aspartate = 1 N-Carbamoyl-L-aspartate + 1 Phosphate + 1 Proton </v>
      </c>
      <c r="C182" t="str">
        <f>Master!F457</f>
        <v>N</v>
      </c>
      <c r="D182">
        <f>Master!M457</f>
        <v>1</v>
      </c>
      <c r="F182" s="37" t="str">
        <f t="shared" si="35"/>
        <v>R457</v>
      </c>
      <c r="G182" s="37" t="str">
        <f t="shared" si="36"/>
        <v xml:space="preserve">1 Carbamoylphosphate + 1 L-Aspartate = 1 N-Carbamoyl-L-aspartate + 1 Phosphate + 1 Proton </v>
      </c>
      <c r="H182" s="37" t="s">
        <v>1027</v>
      </c>
      <c r="I182" s="37" t="s">
        <v>1028</v>
      </c>
      <c r="J182" s="37" t="str">
        <f t="shared" si="37"/>
        <v>0</v>
      </c>
      <c r="K182" s="37" t="s">
        <v>195</v>
      </c>
      <c r="L182" s="37">
        <v>0</v>
      </c>
      <c r="M182" s="37">
        <v>0</v>
      </c>
      <c r="N182" s="37">
        <v>1</v>
      </c>
      <c r="O182" s="37">
        <v>1</v>
      </c>
      <c r="P182" s="37">
        <v>0</v>
      </c>
      <c r="Q182" s="37">
        <v>0.01</v>
      </c>
      <c r="AE182" t="str">
        <f t="shared" si="38"/>
        <v>1;1</v>
      </c>
    </row>
    <row r="183" spans="1:34" x14ac:dyDescent="0.25">
      <c r="A183" t="str">
        <f>Master!A460</f>
        <v>R460</v>
      </c>
      <c r="B183" t="str">
        <f>Master!C460</f>
        <v xml:space="preserve">1 N-Carbamoyl-L-aspartate + 1 Proton = 1 H2O + 1 S-Dihydroorotate </v>
      </c>
      <c r="C183" t="str">
        <f>Master!F460</f>
        <v>N</v>
      </c>
      <c r="D183">
        <f>Master!M460</f>
        <v>1</v>
      </c>
      <c r="F183" s="37" t="str">
        <f t="shared" si="35"/>
        <v>R460</v>
      </c>
      <c r="G183" s="37" t="str">
        <f t="shared" si="36"/>
        <v xml:space="preserve">1 N-Carbamoyl-L-aspartate + 1 Proton = 1 H2O + 1 S-Dihydroorotate </v>
      </c>
      <c r="H183" s="37" t="s">
        <v>1027</v>
      </c>
      <c r="I183" s="37" t="s">
        <v>1028</v>
      </c>
      <c r="J183" s="37" t="str">
        <f t="shared" si="37"/>
        <v>0</v>
      </c>
      <c r="K183" s="37" t="s">
        <v>195</v>
      </c>
      <c r="L183" s="37">
        <v>0</v>
      </c>
      <c r="M183" s="37">
        <v>0</v>
      </c>
      <c r="N183" s="37">
        <v>1</v>
      </c>
      <c r="O183" s="37">
        <v>1</v>
      </c>
      <c r="P183" s="37">
        <v>0</v>
      </c>
      <c r="Q183" s="37">
        <v>0.01</v>
      </c>
      <c r="AE183" t="str">
        <f t="shared" si="38"/>
        <v>1;1</v>
      </c>
    </row>
    <row r="184" spans="1:34" x14ac:dyDescent="0.25">
      <c r="A184" t="str">
        <f>Master!A463</f>
        <v>R463</v>
      </c>
      <c r="B184" t="str">
        <f>Master!C463</f>
        <v xml:space="preserve">1 O2 + 1 S-Dihydroorotate = 1 H2O2 + 1 Orotate </v>
      </c>
      <c r="C184" t="str">
        <f>Master!F463</f>
        <v>N</v>
      </c>
      <c r="D184">
        <f>Master!M463</f>
        <v>1</v>
      </c>
      <c r="F184" s="37" t="str">
        <f t="shared" si="35"/>
        <v>R463</v>
      </c>
      <c r="G184" s="37" t="str">
        <f t="shared" si="36"/>
        <v xml:space="preserve">1 O2 + 1 S-Dihydroorotate = 1 H2O2 + 1 Orotate </v>
      </c>
      <c r="H184" s="37" t="s">
        <v>1027</v>
      </c>
      <c r="I184" s="37" t="s">
        <v>1028</v>
      </c>
      <c r="J184" s="37" t="str">
        <f t="shared" si="37"/>
        <v>0</v>
      </c>
      <c r="K184" s="37" t="s">
        <v>195</v>
      </c>
      <c r="L184" s="37">
        <v>0</v>
      </c>
      <c r="M184" s="37">
        <v>0</v>
      </c>
      <c r="N184" s="37">
        <v>1</v>
      </c>
      <c r="O184" s="37">
        <v>1</v>
      </c>
      <c r="P184" s="37">
        <v>0</v>
      </c>
      <c r="Q184" s="37">
        <v>0.01</v>
      </c>
      <c r="AE184" t="str">
        <f t="shared" si="38"/>
        <v>1;1</v>
      </c>
    </row>
    <row r="185" spans="1:34" x14ac:dyDescent="0.25">
      <c r="A185" t="str">
        <f>Master!A465</f>
        <v>R465</v>
      </c>
      <c r="B185" t="str">
        <f>Master!C465</f>
        <v xml:space="preserve">1 Orotate + 1 PRPP = 1 Orotidylic-acid + 1 PPi </v>
      </c>
      <c r="C185" t="str">
        <f>Master!F465</f>
        <v>N</v>
      </c>
      <c r="D185">
        <f>Master!M465</f>
        <v>1</v>
      </c>
      <c r="F185" s="37" t="str">
        <f t="shared" si="35"/>
        <v>R465</v>
      </c>
      <c r="G185" s="37" t="str">
        <f t="shared" si="36"/>
        <v xml:space="preserve">1 Orotate + 1 PRPP = 1 Orotidylic-acid + 1 PPi </v>
      </c>
      <c r="H185" s="37" t="s">
        <v>1027</v>
      </c>
      <c r="I185" s="37" t="s">
        <v>1028</v>
      </c>
      <c r="J185" s="37" t="str">
        <f t="shared" si="37"/>
        <v>0</v>
      </c>
      <c r="K185" s="37" t="s">
        <v>195</v>
      </c>
      <c r="L185" s="37">
        <v>0</v>
      </c>
      <c r="M185" s="37">
        <v>0</v>
      </c>
      <c r="N185" s="37">
        <v>1</v>
      </c>
      <c r="O185" s="37">
        <v>1</v>
      </c>
      <c r="P185" s="37">
        <v>0</v>
      </c>
      <c r="Q185" s="37">
        <v>0.01</v>
      </c>
      <c r="AE185" t="str">
        <f t="shared" si="38"/>
        <v>1;1</v>
      </c>
      <c r="AF185" t="str">
        <f t="shared" si="39"/>
        <v>1;1;1;1</v>
      </c>
      <c r="AG185" t="str">
        <f t="shared" ref="AG185" si="41">CONCATENATE(AF185,$E$1,AF189)</f>
        <v>1;1;1;1;1;1;1;1</v>
      </c>
    </row>
    <row r="186" spans="1:34" x14ac:dyDescent="0.25">
      <c r="A186" t="str">
        <f>Master!A467</f>
        <v>R467</v>
      </c>
      <c r="B186" t="str">
        <f>Master!C467</f>
        <v xml:space="preserve">1 Orotidylic-acid + 1 Proton = 1 CO2 + 1 UMP </v>
      </c>
      <c r="C186" t="str">
        <f>Master!F467</f>
        <v>N</v>
      </c>
      <c r="D186">
        <f>Master!M467</f>
        <v>1</v>
      </c>
      <c r="F186" s="37" t="str">
        <f t="shared" si="35"/>
        <v>R467</v>
      </c>
      <c r="G186" s="37" t="str">
        <f t="shared" si="36"/>
        <v xml:space="preserve">1 Orotidylic-acid + 1 Proton = 1 CO2 + 1 UMP </v>
      </c>
      <c r="H186" s="37" t="s">
        <v>1027</v>
      </c>
      <c r="I186" s="37" t="s">
        <v>1028</v>
      </c>
      <c r="J186" s="37" t="str">
        <f t="shared" si="37"/>
        <v>0</v>
      </c>
      <c r="K186" s="37" t="s">
        <v>195</v>
      </c>
      <c r="L186" s="37">
        <v>0</v>
      </c>
      <c r="M186" s="37">
        <v>0</v>
      </c>
      <c r="N186" s="37">
        <v>1</v>
      </c>
      <c r="O186" s="37">
        <v>1</v>
      </c>
      <c r="P186" s="37">
        <v>0</v>
      </c>
      <c r="Q186" s="37">
        <v>0.01</v>
      </c>
      <c r="AE186" t="str">
        <f t="shared" si="38"/>
        <v>1;1</v>
      </c>
    </row>
    <row r="187" spans="1:34" x14ac:dyDescent="0.25">
      <c r="A187" t="str">
        <f>Master!A469</f>
        <v>R469</v>
      </c>
      <c r="B187" t="str">
        <f>Master!C469</f>
        <v xml:space="preserve">1 ATP + 1 UMP = 1 ADP + 1 UDP </v>
      </c>
      <c r="C187" t="str">
        <f>Master!F469</f>
        <v>N</v>
      </c>
      <c r="D187">
        <f>Master!M469</f>
        <v>1</v>
      </c>
      <c r="F187" s="37" t="str">
        <f t="shared" si="35"/>
        <v>R469</v>
      </c>
      <c r="G187" s="37" t="str">
        <f t="shared" si="36"/>
        <v xml:space="preserve">1 ATP + 1 UMP = 1 ADP + 1 UDP </v>
      </c>
      <c r="H187" s="37" t="s">
        <v>1027</v>
      </c>
      <c r="I187" s="37" t="s">
        <v>1028</v>
      </c>
      <c r="J187" s="37" t="str">
        <f t="shared" si="37"/>
        <v>0</v>
      </c>
      <c r="K187" s="37" t="s">
        <v>195</v>
      </c>
      <c r="L187" s="37">
        <v>0</v>
      </c>
      <c r="M187" s="37">
        <v>0</v>
      </c>
      <c r="N187" s="37">
        <v>1</v>
      </c>
      <c r="O187" s="37">
        <v>1</v>
      </c>
      <c r="P187" s="37">
        <v>0</v>
      </c>
      <c r="Q187" s="37">
        <v>0.01</v>
      </c>
      <c r="AE187" t="str">
        <f t="shared" si="38"/>
        <v>1;1</v>
      </c>
    </row>
    <row r="188" spans="1:34" x14ac:dyDescent="0.25">
      <c r="A188" t="str">
        <f>Master!A471</f>
        <v>R471</v>
      </c>
      <c r="B188" t="str">
        <f>Master!C471</f>
        <v xml:space="preserve">1 ATP + 1 UDP = 1 ADP + 1 UTP </v>
      </c>
      <c r="C188" t="str">
        <f>Master!F471</f>
        <v>N</v>
      </c>
      <c r="D188">
        <f>Master!M471</f>
        <v>1</v>
      </c>
      <c r="F188" s="37" t="str">
        <f t="shared" si="35"/>
        <v>R471</v>
      </c>
      <c r="G188" s="37" t="str">
        <f t="shared" si="36"/>
        <v xml:space="preserve">1 ATP + 1 UDP = 1 ADP + 1 UTP </v>
      </c>
      <c r="H188" s="37" t="s">
        <v>1027</v>
      </c>
      <c r="I188" s="37" t="s">
        <v>1028</v>
      </c>
      <c r="J188" s="37" t="str">
        <f t="shared" si="37"/>
        <v>0</v>
      </c>
      <c r="K188" s="37" t="s">
        <v>195</v>
      </c>
      <c r="L188" s="37">
        <v>0</v>
      </c>
      <c r="M188" s="37">
        <v>0</v>
      </c>
      <c r="N188" s="37">
        <v>1</v>
      </c>
      <c r="O188" s="37">
        <v>1</v>
      </c>
      <c r="P188" s="37">
        <v>0</v>
      </c>
      <c r="Q188" s="37">
        <v>0.01</v>
      </c>
      <c r="AE188" t="str">
        <f t="shared" si="38"/>
        <v>1;1</v>
      </c>
    </row>
    <row r="189" spans="1:34" x14ac:dyDescent="0.25">
      <c r="A189" t="str">
        <f>Master!A473</f>
        <v>R473</v>
      </c>
      <c r="B189" t="str">
        <f>Master!C473</f>
        <v xml:space="preserve">1 ATP + 1 NH3 + 1 UTP = 1 ADP + 1 CTP + 1 Phosphate + 1 Proton </v>
      </c>
      <c r="C189" t="str">
        <f>Master!F473</f>
        <v>N</v>
      </c>
      <c r="D189">
        <f>Master!M473</f>
        <v>1</v>
      </c>
      <c r="F189" s="37" t="str">
        <f t="shared" si="35"/>
        <v>R473</v>
      </c>
      <c r="G189" s="37" t="str">
        <f t="shared" si="36"/>
        <v xml:space="preserve">1 ATP + 1 NH3 + 1 UTP = 1 ADP + 1 CTP + 1 Phosphate + 1 Proton </v>
      </c>
      <c r="H189" s="37" t="s">
        <v>1027</v>
      </c>
      <c r="I189" s="37" t="s">
        <v>1028</v>
      </c>
      <c r="J189" s="37" t="str">
        <f t="shared" si="37"/>
        <v>0</v>
      </c>
      <c r="K189" s="37" t="s">
        <v>195</v>
      </c>
      <c r="L189" s="37">
        <v>0</v>
      </c>
      <c r="M189" s="37">
        <v>0</v>
      </c>
      <c r="N189" s="37">
        <v>1</v>
      </c>
      <c r="O189" s="37">
        <v>1</v>
      </c>
      <c r="P189" s="37">
        <v>0</v>
      </c>
      <c r="Q189" s="37">
        <v>0.01</v>
      </c>
      <c r="AE189" t="str">
        <f t="shared" si="38"/>
        <v>1;1</v>
      </c>
      <c r="AF189" t="str">
        <f t="shared" si="39"/>
        <v>1;1;1;1</v>
      </c>
    </row>
    <row r="190" spans="1:34" x14ac:dyDescent="0.25">
      <c r="A190" t="str">
        <f>Master!A475</f>
        <v>R475</v>
      </c>
      <c r="B190" t="str">
        <f>Master!C475</f>
        <v xml:space="preserve">1 CTP + 1 thioredoxin_red = 1 dCTP + 1 H2O + 1 thioredoxin_ox </v>
      </c>
      <c r="C190" t="str">
        <f>Master!F475</f>
        <v>N</v>
      </c>
      <c r="D190">
        <f>Master!M475</f>
        <v>1</v>
      </c>
      <c r="F190" s="37" t="str">
        <f t="shared" si="35"/>
        <v>R475</v>
      </c>
      <c r="G190" s="37" t="str">
        <f t="shared" si="36"/>
        <v xml:space="preserve">1 CTP + 1 thioredoxin_red = 1 dCTP + 1 H2O + 1 thioredoxin_ox </v>
      </c>
      <c r="H190" s="37" t="s">
        <v>1027</v>
      </c>
      <c r="I190" s="37" t="s">
        <v>1028</v>
      </c>
      <c r="J190" s="37" t="str">
        <f t="shared" si="37"/>
        <v>0</v>
      </c>
      <c r="K190" s="37" t="s">
        <v>195</v>
      </c>
      <c r="L190" s="37">
        <v>0</v>
      </c>
      <c r="M190" s="37">
        <v>0</v>
      </c>
      <c r="N190" s="37">
        <v>1</v>
      </c>
      <c r="O190" s="37">
        <v>1</v>
      </c>
      <c r="P190" s="37">
        <v>0</v>
      </c>
      <c r="Q190" s="37">
        <v>0.01</v>
      </c>
      <c r="AE190" t="str">
        <f t="shared" si="38"/>
        <v>1;1</v>
      </c>
    </row>
    <row r="191" spans="1:34" x14ac:dyDescent="0.25">
      <c r="A191" t="str">
        <f>Master!A477</f>
        <v>R477</v>
      </c>
      <c r="B191" t="str">
        <f>Master!C477</f>
        <v xml:space="preserve">1 dCTP + 1 H2O = 1 dUTP + 1 NH3 </v>
      </c>
      <c r="C191" t="str">
        <f>Master!F477</f>
        <v>N</v>
      </c>
      <c r="D191">
        <f>Master!M477</f>
        <v>1</v>
      </c>
      <c r="F191" s="37" t="str">
        <f t="shared" si="35"/>
        <v>R477</v>
      </c>
      <c r="G191" s="37" t="str">
        <f t="shared" si="36"/>
        <v xml:space="preserve">1 dCTP + 1 H2O = 1 dUTP + 1 NH3 </v>
      </c>
      <c r="H191" s="37" t="s">
        <v>1027</v>
      </c>
      <c r="I191" s="37" t="s">
        <v>1028</v>
      </c>
      <c r="J191" s="37" t="str">
        <f t="shared" si="37"/>
        <v>0</v>
      </c>
      <c r="K191" s="37" t="s">
        <v>195</v>
      </c>
      <c r="L191" s="37">
        <v>0</v>
      </c>
      <c r="M191" s="37">
        <v>0</v>
      </c>
      <c r="N191" s="37">
        <v>1</v>
      </c>
      <c r="O191" s="37">
        <v>1</v>
      </c>
      <c r="P191" s="37">
        <v>0</v>
      </c>
      <c r="Q191" s="37">
        <v>0.01</v>
      </c>
      <c r="AE191" t="str">
        <f t="shared" si="38"/>
        <v>1;1</v>
      </c>
    </row>
    <row r="192" spans="1:34" x14ac:dyDescent="0.25">
      <c r="A192" t="str">
        <f>Master!A479</f>
        <v>R479</v>
      </c>
      <c r="B192" t="str">
        <f>Master!C479</f>
        <v xml:space="preserve">1 dUTP + 1 H2O = 1 dUMP + 1 PPi + 1 Proton </v>
      </c>
      <c r="C192" t="str">
        <f>Master!F479</f>
        <v>N</v>
      </c>
      <c r="D192">
        <f>Master!M479</f>
        <v>1</v>
      </c>
      <c r="F192" s="37" t="str">
        <f t="shared" si="35"/>
        <v>R479</v>
      </c>
      <c r="G192" s="37" t="str">
        <f t="shared" si="36"/>
        <v xml:space="preserve">1 dUTP + 1 H2O = 1 dUMP + 1 PPi + 1 Proton </v>
      </c>
      <c r="H192" s="37" t="s">
        <v>1027</v>
      </c>
      <c r="I192" s="37" t="s">
        <v>1028</v>
      </c>
      <c r="J192" s="37" t="str">
        <f t="shared" si="37"/>
        <v>0</v>
      </c>
      <c r="K192" s="37" t="s">
        <v>195</v>
      </c>
      <c r="L192" s="37">
        <v>0</v>
      </c>
      <c r="M192" s="37">
        <v>0</v>
      </c>
      <c r="N192" s="37">
        <v>1</v>
      </c>
      <c r="O192" s="37">
        <v>1</v>
      </c>
      <c r="P192" s="37">
        <v>0</v>
      </c>
      <c r="Q192" s="37">
        <v>0.01</v>
      </c>
      <c r="AE192" t="str">
        <f t="shared" si="38"/>
        <v>1;1</v>
      </c>
    </row>
    <row r="193" spans="1:36" x14ac:dyDescent="0.25">
      <c r="A193" t="str">
        <f>Master!A481</f>
        <v>R481</v>
      </c>
      <c r="B193" t="str">
        <f>Master!C481</f>
        <v xml:space="preserve">1 5-10-Methylenetetrahydrofolate + 1 dUMP + 1 FADH2 = 1 dTMP + 1 FAD + 1 tetrahydrofolate_B9 </v>
      </c>
      <c r="C193" t="str">
        <f>Master!F481</f>
        <v>N</v>
      </c>
      <c r="D193">
        <f>Master!M481</f>
        <v>1</v>
      </c>
      <c r="F193" s="37" t="str">
        <f t="shared" ref="F193:F256" si="42">A193</f>
        <v>R481</v>
      </c>
      <c r="G193" s="37" t="str">
        <f t="shared" ref="G193:G256" si="43">B193</f>
        <v xml:space="preserve">1 5-10-Methylenetetrahydrofolate + 1 dUMP + 1 FADH2 = 1 dTMP + 1 FAD + 1 tetrahydrofolate_B9 </v>
      </c>
      <c r="H193" s="37" t="s">
        <v>1027</v>
      </c>
      <c r="I193" s="37" t="s">
        <v>1028</v>
      </c>
      <c r="J193" s="37" t="str">
        <f t="shared" ref="J193:J256" si="44">IF(EXACT(C193,"Y"),"-inf","0")</f>
        <v>0</v>
      </c>
      <c r="K193" s="37" t="s">
        <v>195</v>
      </c>
      <c r="L193" s="37">
        <v>0</v>
      </c>
      <c r="M193" s="37">
        <v>0</v>
      </c>
      <c r="N193" s="37">
        <v>1</v>
      </c>
      <c r="O193" s="37">
        <v>1</v>
      </c>
      <c r="P193" s="37">
        <v>0</v>
      </c>
      <c r="Q193" s="37">
        <v>0.01</v>
      </c>
      <c r="AE193" t="str">
        <f t="shared" si="38"/>
        <v>1;1</v>
      </c>
      <c r="AF193" t="str">
        <f>CONCATENATE(AE193,$E$1,AE195)</f>
        <v>1;1;1;1</v>
      </c>
      <c r="AG193" t="str">
        <f>CONCATENATE(AF193,$E$1,AF197)</f>
        <v>1;1;1;1;1;1;1;1</v>
      </c>
      <c r="AH193" t="str">
        <f>CONCATENATE(AG193,$E$1,AG201)</f>
        <v>1;1;1;1;1;1;1;1;1;1;1;1;1;1;1;1</v>
      </c>
      <c r="AI193" t="str">
        <f>CONCATENATE(AH193,$E$1,AH209)</f>
        <v>1;1;1;1;1;1;1;1;1;1;1;1;1;1;1;1;1;1;1;1;1;1;1;1;4;3;7;1;1;6;2;0</v>
      </c>
      <c r="AJ193" t="str">
        <f>CONCATENATE(AI193,$E$1,AI225)</f>
        <v>1;1;1;1;1;1;1;1;1;1;1;1;1;1;1;1;1;1;1;1;1;1;1;1;4;3;7;1;1;6;2;0;0;0;0;1;1;1;1;1;1;1;1;1;1;1;1;1;0;1;1;1;1;1;1;1;1;1;1;1;1;1;1;1</v>
      </c>
    </row>
    <row r="194" spans="1:36" x14ac:dyDescent="0.25">
      <c r="A194" t="str">
        <f>Master!A483</f>
        <v>R483</v>
      </c>
      <c r="B194" t="str">
        <f>Master!C483</f>
        <v xml:space="preserve">1 ATP + 1 dTMP = 1 ADP + 1 dTDP </v>
      </c>
      <c r="C194" t="str">
        <f>Master!F483</f>
        <v>N</v>
      </c>
      <c r="D194">
        <f>Master!M483</f>
        <v>1</v>
      </c>
      <c r="F194" s="37" t="str">
        <f t="shared" si="42"/>
        <v>R483</v>
      </c>
      <c r="G194" s="37" t="str">
        <f t="shared" si="43"/>
        <v xml:space="preserve">1 ATP + 1 dTMP = 1 ADP + 1 dTDP </v>
      </c>
      <c r="H194" s="37" t="s">
        <v>1027</v>
      </c>
      <c r="I194" s="37" t="s">
        <v>1028</v>
      </c>
      <c r="J194" s="37" t="str">
        <f t="shared" si="44"/>
        <v>0</v>
      </c>
      <c r="K194" s="37" t="s">
        <v>195</v>
      </c>
      <c r="L194" s="37">
        <v>0</v>
      </c>
      <c r="M194" s="37">
        <v>0</v>
      </c>
      <c r="N194" s="37">
        <v>1</v>
      </c>
      <c r="O194" s="37">
        <v>1</v>
      </c>
      <c r="P194" s="37">
        <v>0</v>
      </c>
      <c r="Q194" s="37">
        <v>0.01</v>
      </c>
      <c r="AE194" t="str">
        <f t="shared" ref="AE194:AE257" si="45">CONCATENATE(D194,$E$1,D195)</f>
        <v>1;1</v>
      </c>
    </row>
    <row r="195" spans="1:36" x14ac:dyDescent="0.25">
      <c r="A195" t="str">
        <f>Master!A485</f>
        <v>R485</v>
      </c>
      <c r="B195" t="str">
        <f>Master!C485</f>
        <v xml:space="preserve">1 ATP + 1 dTDP = 1 ADP + 1 dTTP </v>
      </c>
      <c r="C195" t="str">
        <f>Master!F485</f>
        <v>N</v>
      </c>
      <c r="D195">
        <f>Master!M485</f>
        <v>1</v>
      </c>
      <c r="F195" s="37" t="str">
        <f t="shared" si="42"/>
        <v>R485</v>
      </c>
      <c r="G195" s="37" t="str">
        <f t="shared" si="43"/>
        <v xml:space="preserve">1 ATP + 1 dTDP = 1 ADP + 1 dTTP </v>
      </c>
      <c r="H195" s="37" t="s">
        <v>1027</v>
      </c>
      <c r="I195" s="37" t="s">
        <v>1028</v>
      </c>
      <c r="J195" s="37" t="str">
        <f t="shared" si="44"/>
        <v>0</v>
      </c>
      <c r="K195" s="37" t="s">
        <v>195</v>
      </c>
      <c r="L195" s="37">
        <v>0</v>
      </c>
      <c r="M195" s="37">
        <v>0</v>
      </c>
      <c r="N195" s="37">
        <v>1</v>
      </c>
      <c r="O195" s="37">
        <v>1</v>
      </c>
      <c r="P195" s="37">
        <v>0</v>
      </c>
      <c r="Q195" s="37">
        <v>0.01</v>
      </c>
      <c r="AE195" t="str">
        <f t="shared" si="45"/>
        <v>1;1</v>
      </c>
    </row>
    <row r="196" spans="1:36" x14ac:dyDescent="0.25">
      <c r="A196" t="str">
        <f>Master!A487</f>
        <v>R487</v>
      </c>
      <c r="B196" t="str">
        <f>Master!C487</f>
        <v xml:space="preserve">1 thioredoxin_red + 1 UTP = 1 dUTP + 1 H2O + 1 thioredoxin_ox </v>
      </c>
      <c r="C196" t="str">
        <f>Master!F487</f>
        <v>N</v>
      </c>
      <c r="D196">
        <f>Master!M487</f>
        <v>1</v>
      </c>
      <c r="F196" s="37" t="str">
        <f t="shared" si="42"/>
        <v>R487</v>
      </c>
      <c r="G196" s="37" t="str">
        <f t="shared" si="43"/>
        <v xml:space="preserve">1 thioredoxin_red + 1 UTP = 1 dUTP + 1 H2O + 1 thioredoxin_ox </v>
      </c>
      <c r="H196" s="37" t="s">
        <v>1027</v>
      </c>
      <c r="I196" s="37" t="s">
        <v>1028</v>
      </c>
      <c r="J196" s="37" t="str">
        <f t="shared" si="44"/>
        <v>0</v>
      </c>
      <c r="K196" s="37" t="s">
        <v>195</v>
      </c>
      <c r="L196" s="37">
        <v>0</v>
      </c>
      <c r="M196" s="37">
        <v>0</v>
      </c>
      <c r="N196" s="37">
        <v>1</v>
      </c>
      <c r="O196" s="37">
        <v>1</v>
      </c>
      <c r="P196" s="37">
        <v>0</v>
      </c>
      <c r="Q196" s="37">
        <v>0.01</v>
      </c>
      <c r="AE196" t="str">
        <f t="shared" si="45"/>
        <v>1;1</v>
      </c>
    </row>
    <row r="197" spans="1:36" x14ac:dyDescent="0.25">
      <c r="A197" t="str">
        <f>Master!A489</f>
        <v>R489</v>
      </c>
      <c r="B197" t="str">
        <f>Master!C489</f>
        <v xml:space="preserve">1 H2O + 1 L-Glutamine + 1 PRPP = 1 5-Phosphoribosylamine + 1 L-Glutamate + 1 PPi </v>
      </c>
      <c r="C197" t="str">
        <f>Master!F489</f>
        <v>Y</v>
      </c>
      <c r="D197">
        <f>Master!M489</f>
        <v>1</v>
      </c>
      <c r="F197" s="37" t="str">
        <f t="shared" si="42"/>
        <v>R489</v>
      </c>
      <c r="G197" s="37" t="str">
        <f t="shared" si="43"/>
        <v xml:space="preserve">1 H2O + 1 L-Glutamine + 1 PRPP = 1 5-Phosphoribosylamine + 1 L-Glutamate + 1 PPi </v>
      </c>
      <c r="H197" s="37" t="s">
        <v>1027</v>
      </c>
      <c r="I197" s="37" t="s">
        <v>1028</v>
      </c>
      <c r="J197" s="37" t="str">
        <f t="shared" si="44"/>
        <v>-inf</v>
      </c>
      <c r="K197" s="37" t="s">
        <v>195</v>
      </c>
      <c r="L197" s="37">
        <v>0</v>
      </c>
      <c r="M197" s="37">
        <v>0</v>
      </c>
      <c r="N197" s="37">
        <v>1</v>
      </c>
      <c r="O197" s="37">
        <v>1</v>
      </c>
      <c r="P197" s="37">
        <v>0</v>
      </c>
      <c r="Q197" s="37">
        <v>0.01</v>
      </c>
      <c r="AE197" t="str">
        <f t="shared" si="45"/>
        <v>1;1</v>
      </c>
      <c r="AF197" t="str">
        <f t="shared" ref="AF197:AF253" si="46">CONCATENATE(AE197,$E$1,AE199)</f>
        <v>1;1;1;1</v>
      </c>
    </row>
    <row r="198" spans="1:36" x14ac:dyDescent="0.25">
      <c r="A198" t="str">
        <f>Master!A491</f>
        <v>R491</v>
      </c>
      <c r="B198" t="str">
        <f>Master!C491</f>
        <v xml:space="preserve">1 5-Phosphoribosylamine + 1 ATP + 1 Glycine = 1 ADP + 1 GAR + 1 Phosphate + 1 Proton </v>
      </c>
      <c r="C198" t="str">
        <f>Master!F491</f>
        <v>N</v>
      </c>
      <c r="D198">
        <f>Master!M491</f>
        <v>1</v>
      </c>
      <c r="F198" s="37" t="str">
        <f t="shared" si="42"/>
        <v>R491</v>
      </c>
      <c r="G198" s="37" t="str">
        <f t="shared" si="43"/>
        <v xml:space="preserve">1 5-Phosphoribosylamine + 1 ATP + 1 Glycine = 1 ADP + 1 GAR + 1 Phosphate + 1 Proton </v>
      </c>
      <c r="H198" s="37" t="s">
        <v>1027</v>
      </c>
      <c r="I198" s="37" t="s">
        <v>1028</v>
      </c>
      <c r="J198" s="37" t="str">
        <f t="shared" si="44"/>
        <v>0</v>
      </c>
      <c r="K198" s="37" t="s">
        <v>195</v>
      </c>
      <c r="L198" s="37">
        <v>0</v>
      </c>
      <c r="M198" s="37">
        <v>0</v>
      </c>
      <c r="N198" s="37">
        <v>1</v>
      </c>
      <c r="O198" s="37">
        <v>1</v>
      </c>
      <c r="P198" s="37">
        <v>0</v>
      </c>
      <c r="Q198" s="37">
        <v>0.01</v>
      </c>
      <c r="AE198" t="str">
        <f t="shared" si="45"/>
        <v>1;1</v>
      </c>
    </row>
    <row r="199" spans="1:36" x14ac:dyDescent="0.25">
      <c r="A199" t="str">
        <f>Master!A493</f>
        <v>R493</v>
      </c>
      <c r="B199" t="str">
        <f>Master!C493</f>
        <v xml:space="preserve">1 10-Formyltetrahydrofolate + 1 GAR = 1 N-Formyl-GAR + 1 Proton + 1 tetrahydrofolate_B9 </v>
      </c>
      <c r="C199" t="str">
        <f>Master!F493</f>
        <v>N</v>
      </c>
      <c r="D199">
        <f>Master!M493</f>
        <v>1</v>
      </c>
      <c r="F199" s="37" t="str">
        <f t="shared" si="42"/>
        <v>R493</v>
      </c>
      <c r="G199" s="37" t="str">
        <f t="shared" si="43"/>
        <v xml:space="preserve">1 10-Formyltetrahydrofolate + 1 GAR = 1 N-Formyl-GAR + 1 Proton + 1 tetrahydrofolate_B9 </v>
      </c>
      <c r="H199" s="37" t="s">
        <v>1027</v>
      </c>
      <c r="I199" s="37" t="s">
        <v>1028</v>
      </c>
      <c r="J199" s="37" t="str">
        <f t="shared" si="44"/>
        <v>0</v>
      </c>
      <c r="K199" s="37" t="s">
        <v>195</v>
      </c>
      <c r="L199" s="37">
        <v>0</v>
      </c>
      <c r="M199" s="37">
        <v>0</v>
      </c>
      <c r="N199" s="37">
        <v>1</v>
      </c>
      <c r="O199" s="37">
        <v>1</v>
      </c>
      <c r="P199" s="37">
        <v>0</v>
      </c>
      <c r="Q199" s="37">
        <v>0.01</v>
      </c>
      <c r="AE199" t="str">
        <f t="shared" si="45"/>
        <v>1;1</v>
      </c>
    </row>
    <row r="200" spans="1:36" x14ac:dyDescent="0.25">
      <c r="A200" t="str">
        <f>Master!A496</f>
        <v>R496</v>
      </c>
      <c r="B200" t="str">
        <f>Master!C496</f>
        <v xml:space="preserve">1 ATP + 1 H2O + 1 L-Glutamine + 1 N-Formyl-GAR = 1 ADP + 1 FGAM + 1 L-Glutamate + 1 Phosphate + 1 Proton </v>
      </c>
      <c r="C200" t="str">
        <f>Master!F496</f>
        <v>N</v>
      </c>
      <c r="D200">
        <f>Master!M496</f>
        <v>1</v>
      </c>
      <c r="F200" s="37" t="str">
        <f t="shared" si="42"/>
        <v>R496</v>
      </c>
      <c r="G200" s="37" t="str">
        <f t="shared" si="43"/>
        <v xml:space="preserve">1 ATP + 1 H2O + 1 L-Glutamine + 1 N-Formyl-GAR = 1 ADP + 1 FGAM + 1 L-Glutamate + 1 Phosphate + 1 Proton </v>
      </c>
      <c r="H200" s="37" t="s">
        <v>1027</v>
      </c>
      <c r="I200" s="37" t="s">
        <v>1028</v>
      </c>
      <c r="J200" s="37" t="str">
        <f t="shared" si="44"/>
        <v>0</v>
      </c>
      <c r="K200" s="37" t="s">
        <v>195</v>
      </c>
      <c r="L200" s="37">
        <v>0</v>
      </c>
      <c r="M200" s="37">
        <v>0</v>
      </c>
      <c r="N200" s="37">
        <v>1</v>
      </c>
      <c r="O200" s="37">
        <v>1</v>
      </c>
      <c r="P200" s="37">
        <v>0</v>
      </c>
      <c r="Q200" s="37">
        <v>0.01</v>
      </c>
      <c r="AE200" t="str">
        <f t="shared" si="45"/>
        <v>1;1</v>
      </c>
    </row>
    <row r="201" spans="1:36" x14ac:dyDescent="0.25">
      <c r="A201" t="str">
        <f>Master!A499</f>
        <v>R499</v>
      </c>
      <c r="B201" t="str">
        <f>Master!C499</f>
        <v xml:space="preserve">1 ATP + 1 FGAM = 1 ADP + 1 AIR + 1 Phosphate + 1 Proton </v>
      </c>
      <c r="C201" t="str">
        <f>Master!F499</f>
        <v>N</v>
      </c>
      <c r="D201">
        <f>Master!M499</f>
        <v>1</v>
      </c>
      <c r="F201" s="37" t="str">
        <f t="shared" si="42"/>
        <v>R499</v>
      </c>
      <c r="G201" s="37" t="str">
        <f t="shared" si="43"/>
        <v xml:space="preserve">1 ATP + 1 FGAM = 1 ADP + 1 AIR + 1 Phosphate + 1 Proton </v>
      </c>
      <c r="H201" s="37" t="s">
        <v>1027</v>
      </c>
      <c r="I201" s="37" t="s">
        <v>1028</v>
      </c>
      <c r="J201" s="37" t="str">
        <f t="shared" si="44"/>
        <v>0</v>
      </c>
      <c r="K201" s="37" t="s">
        <v>195</v>
      </c>
      <c r="L201" s="37">
        <v>0</v>
      </c>
      <c r="M201" s="37">
        <v>0</v>
      </c>
      <c r="N201" s="37">
        <v>1</v>
      </c>
      <c r="O201" s="37">
        <v>1</v>
      </c>
      <c r="P201" s="37">
        <v>0</v>
      </c>
      <c r="Q201" s="37">
        <v>0.01</v>
      </c>
      <c r="AE201" t="str">
        <f t="shared" si="45"/>
        <v>1;1</v>
      </c>
      <c r="AF201" t="str">
        <f t="shared" si="46"/>
        <v>1;1;1;1</v>
      </c>
      <c r="AG201" t="str">
        <f t="shared" ref="AG201:AG233" si="47">CONCATENATE(AF201,$E$1,AF205)</f>
        <v>1;1;1;1;1;1;1;1</v>
      </c>
    </row>
    <row r="202" spans="1:36" x14ac:dyDescent="0.25">
      <c r="A202" t="str">
        <f>Master!A501</f>
        <v>R501</v>
      </c>
      <c r="B202" t="str">
        <f>Master!C501</f>
        <v xml:space="preserve">1 AIR + 1 CO2 = 1 CAIR + 2 Proton </v>
      </c>
      <c r="C202" t="str">
        <f>Master!F501</f>
        <v>N</v>
      </c>
      <c r="D202">
        <f>Master!M501</f>
        <v>1</v>
      </c>
      <c r="F202" s="37" t="str">
        <f t="shared" si="42"/>
        <v>R501</v>
      </c>
      <c r="G202" s="37" t="str">
        <f t="shared" si="43"/>
        <v xml:space="preserve">1 AIR + 1 CO2 = 1 CAIR + 2 Proton </v>
      </c>
      <c r="H202" s="37" t="s">
        <v>1027</v>
      </c>
      <c r="I202" s="37" t="s">
        <v>1028</v>
      </c>
      <c r="J202" s="37" t="str">
        <f t="shared" si="44"/>
        <v>0</v>
      </c>
      <c r="K202" s="37" t="s">
        <v>195</v>
      </c>
      <c r="L202" s="37">
        <v>0</v>
      </c>
      <c r="M202" s="37">
        <v>0</v>
      </c>
      <c r="N202" s="37">
        <v>1</v>
      </c>
      <c r="O202" s="37">
        <v>1</v>
      </c>
      <c r="P202" s="37">
        <v>0</v>
      </c>
      <c r="Q202" s="37">
        <v>0.01</v>
      </c>
      <c r="AE202" t="str">
        <f t="shared" si="45"/>
        <v>1;1</v>
      </c>
    </row>
    <row r="203" spans="1:36" x14ac:dyDescent="0.25">
      <c r="A203" t="str">
        <f>Master!A504</f>
        <v>R504</v>
      </c>
      <c r="B203" t="str">
        <f>Master!C504</f>
        <v xml:space="preserve">1 ATP + 1 CAIR + 1 L-Aspartate = 1 ADP + 1 Phosphate + 1 Proton + 1 SAICAR </v>
      </c>
      <c r="C203" t="str">
        <f>Master!F504</f>
        <v>N</v>
      </c>
      <c r="D203">
        <f>Master!M504</f>
        <v>1</v>
      </c>
      <c r="F203" s="37" t="str">
        <f t="shared" si="42"/>
        <v>R504</v>
      </c>
      <c r="G203" s="37" t="str">
        <f t="shared" si="43"/>
        <v xml:space="preserve">1 ATP + 1 CAIR + 1 L-Aspartate = 1 ADP + 1 Phosphate + 1 Proton + 1 SAICAR </v>
      </c>
      <c r="H203" s="37" t="s">
        <v>1027</v>
      </c>
      <c r="I203" s="37" t="s">
        <v>1028</v>
      </c>
      <c r="J203" s="37" t="str">
        <f t="shared" si="44"/>
        <v>0</v>
      </c>
      <c r="K203" s="37" t="s">
        <v>195</v>
      </c>
      <c r="L203" s="37">
        <v>0</v>
      </c>
      <c r="M203" s="37">
        <v>0</v>
      </c>
      <c r="N203" s="37">
        <v>1</v>
      </c>
      <c r="O203" s="37">
        <v>1</v>
      </c>
      <c r="P203" s="37">
        <v>0</v>
      </c>
      <c r="Q203" s="37">
        <v>0.01</v>
      </c>
      <c r="AE203" t="str">
        <f t="shared" si="45"/>
        <v>1;1</v>
      </c>
    </row>
    <row r="204" spans="1:36" x14ac:dyDescent="0.25">
      <c r="A204" t="str">
        <f>Master!A506</f>
        <v>R506</v>
      </c>
      <c r="B204" t="str">
        <f>Master!C506</f>
        <v xml:space="preserve">1 SAICAR = 1 AICAR + 1 Fumarate </v>
      </c>
      <c r="C204" t="str">
        <f>Master!F506</f>
        <v>N</v>
      </c>
      <c r="D204">
        <f>Master!M506</f>
        <v>1</v>
      </c>
      <c r="F204" s="37" t="str">
        <f t="shared" si="42"/>
        <v>R506</v>
      </c>
      <c r="G204" s="37" t="str">
        <f t="shared" si="43"/>
        <v xml:space="preserve">1 SAICAR = 1 AICAR + 1 Fumarate </v>
      </c>
      <c r="H204" s="37" t="s">
        <v>1027</v>
      </c>
      <c r="I204" s="37" t="s">
        <v>1028</v>
      </c>
      <c r="J204" s="37" t="str">
        <f t="shared" si="44"/>
        <v>0</v>
      </c>
      <c r="K204" s="37" t="s">
        <v>195</v>
      </c>
      <c r="L204" s="37">
        <v>0</v>
      </c>
      <c r="M204" s="37">
        <v>0</v>
      </c>
      <c r="N204" s="37">
        <v>1</v>
      </c>
      <c r="O204" s="37">
        <v>1</v>
      </c>
      <c r="P204" s="37">
        <v>0</v>
      </c>
      <c r="Q204" s="37">
        <v>0.01</v>
      </c>
      <c r="AE204" t="str">
        <f t="shared" si="45"/>
        <v>1;1</v>
      </c>
    </row>
    <row r="205" spans="1:36" x14ac:dyDescent="0.25">
      <c r="A205" t="str">
        <f>Master!A508</f>
        <v>R508</v>
      </c>
      <c r="B205" t="str">
        <f>Master!C508</f>
        <v xml:space="preserve">1 10-Formyltetrahydrofolate + 1 AICAR = 1 FAICAR + 1 tetrahydrofolate_B9 </v>
      </c>
      <c r="C205" t="str">
        <f>Master!F508</f>
        <v>N</v>
      </c>
      <c r="D205">
        <f>Master!M508</f>
        <v>1</v>
      </c>
      <c r="F205" s="37" t="str">
        <f t="shared" si="42"/>
        <v>R508</v>
      </c>
      <c r="G205" s="37" t="str">
        <f t="shared" si="43"/>
        <v xml:space="preserve">1 10-Formyltetrahydrofolate + 1 AICAR = 1 FAICAR + 1 tetrahydrofolate_B9 </v>
      </c>
      <c r="H205" s="37" t="s">
        <v>1027</v>
      </c>
      <c r="I205" s="37" t="s">
        <v>1028</v>
      </c>
      <c r="J205" s="37" t="str">
        <f t="shared" si="44"/>
        <v>0</v>
      </c>
      <c r="K205" s="37" t="s">
        <v>195</v>
      </c>
      <c r="L205" s="37">
        <v>0</v>
      </c>
      <c r="M205" s="37">
        <v>0</v>
      </c>
      <c r="N205" s="37">
        <v>1</v>
      </c>
      <c r="O205" s="37">
        <v>1</v>
      </c>
      <c r="P205" s="37">
        <v>0</v>
      </c>
      <c r="Q205" s="37">
        <v>0.01</v>
      </c>
      <c r="AE205" t="str">
        <f t="shared" si="45"/>
        <v>1;1</v>
      </c>
      <c r="AF205" t="str">
        <f t="shared" si="46"/>
        <v>1;1;1;1</v>
      </c>
    </row>
    <row r="206" spans="1:36" x14ac:dyDescent="0.25">
      <c r="A206" t="str">
        <f>Master!A510</f>
        <v>R510</v>
      </c>
      <c r="B206" t="str">
        <f>Master!C510</f>
        <v xml:space="preserve">1 FAICAR = 1 H2O + 1 IMP </v>
      </c>
      <c r="C206" t="str">
        <f>Master!F510</f>
        <v>N</v>
      </c>
      <c r="D206">
        <f>Master!M510</f>
        <v>1</v>
      </c>
      <c r="F206" s="37" t="str">
        <f t="shared" si="42"/>
        <v>R510</v>
      </c>
      <c r="G206" s="37" t="str">
        <f t="shared" si="43"/>
        <v xml:space="preserve">1 FAICAR = 1 H2O + 1 IMP </v>
      </c>
      <c r="H206" s="37" t="s">
        <v>1027</v>
      </c>
      <c r="I206" s="37" t="s">
        <v>1028</v>
      </c>
      <c r="J206" s="37" t="str">
        <f t="shared" si="44"/>
        <v>0</v>
      </c>
      <c r="K206" s="37" t="s">
        <v>195</v>
      </c>
      <c r="L206" s="37">
        <v>0</v>
      </c>
      <c r="M206" s="37">
        <v>0</v>
      </c>
      <c r="N206" s="37">
        <v>1</v>
      </c>
      <c r="O206" s="37">
        <v>1</v>
      </c>
      <c r="P206" s="37">
        <v>0</v>
      </c>
      <c r="Q206" s="37">
        <v>0.01</v>
      </c>
      <c r="AE206" t="str">
        <f t="shared" si="45"/>
        <v>1;1</v>
      </c>
    </row>
    <row r="207" spans="1:36" x14ac:dyDescent="0.25">
      <c r="A207" t="str">
        <f>Master!A512</f>
        <v>R512</v>
      </c>
      <c r="B207" t="str">
        <f>Master!C512</f>
        <v xml:space="preserve">1 H2O + 1 IMP + 1 NAD = 1 NADH + 1 Proton + 1 XMP </v>
      </c>
      <c r="C207" t="str">
        <f>Master!F512</f>
        <v>N</v>
      </c>
      <c r="D207">
        <f>Master!M512</f>
        <v>1</v>
      </c>
      <c r="F207" s="37" t="str">
        <f t="shared" si="42"/>
        <v>R512</v>
      </c>
      <c r="G207" s="37" t="str">
        <f t="shared" si="43"/>
        <v xml:space="preserve">1 H2O + 1 IMP + 1 NAD = 1 NADH + 1 Proton + 1 XMP </v>
      </c>
      <c r="H207" s="37" t="s">
        <v>1027</v>
      </c>
      <c r="I207" s="37" t="s">
        <v>1028</v>
      </c>
      <c r="J207" s="37" t="str">
        <f t="shared" si="44"/>
        <v>0</v>
      </c>
      <c r="K207" s="37" t="s">
        <v>195</v>
      </c>
      <c r="L207" s="37">
        <v>0</v>
      </c>
      <c r="M207" s="37">
        <v>0</v>
      </c>
      <c r="N207" s="37">
        <v>1</v>
      </c>
      <c r="O207" s="37">
        <v>1</v>
      </c>
      <c r="P207" s="37">
        <v>0</v>
      </c>
      <c r="Q207" s="37">
        <v>0.01</v>
      </c>
      <c r="AE207" t="str">
        <f t="shared" si="45"/>
        <v>1;1</v>
      </c>
    </row>
    <row r="208" spans="1:36" x14ac:dyDescent="0.25">
      <c r="A208" t="str">
        <f>Master!A514</f>
        <v>R514</v>
      </c>
      <c r="B208" t="str">
        <f>Master!C514</f>
        <v xml:space="preserve">1 ATP + 1 H2O + 1 L-Glutamine + 1 XMP = 1 AMP + 1 GMP + 1 L-Glutamate + 1 PPi + 2 Proton </v>
      </c>
      <c r="C208" t="str">
        <f>Master!F514</f>
        <v>N</v>
      </c>
      <c r="D208">
        <f>Master!M514</f>
        <v>1</v>
      </c>
      <c r="F208" s="37" t="str">
        <f t="shared" si="42"/>
        <v>R514</v>
      </c>
      <c r="G208" s="37" t="str">
        <f t="shared" si="43"/>
        <v xml:space="preserve">1 ATP + 1 H2O + 1 L-Glutamine + 1 XMP = 1 AMP + 1 GMP + 1 L-Glutamate + 1 PPi + 2 Proton </v>
      </c>
      <c r="H208" s="37" t="s">
        <v>1027</v>
      </c>
      <c r="I208" s="37" t="s">
        <v>1028</v>
      </c>
      <c r="J208" s="37" t="str">
        <f t="shared" si="44"/>
        <v>0</v>
      </c>
      <c r="K208" s="37" t="s">
        <v>195</v>
      </c>
      <c r="L208" s="37">
        <v>0</v>
      </c>
      <c r="M208" s="37">
        <v>0</v>
      </c>
      <c r="N208" s="37">
        <v>1</v>
      </c>
      <c r="O208" s="37">
        <v>1</v>
      </c>
      <c r="P208" s="37">
        <v>0</v>
      </c>
      <c r="Q208" s="37">
        <v>0.01</v>
      </c>
      <c r="AE208" t="str">
        <f t="shared" si="45"/>
        <v>1;1</v>
      </c>
    </row>
    <row r="209" spans="1:34" x14ac:dyDescent="0.25">
      <c r="A209" t="str">
        <f>Master!A517</f>
        <v>R517</v>
      </c>
      <c r="B209" t="str">
        <f>Master!C517</f>
        <v xml:space="preserve">1 AMP + 1 ATP = 2 ADP </v>
      </c>
      <c r="C209" t="str">
        <f>Master!F517</f>
        <v>N</v>
      </c>
      <c r="D209">
        <f>Master!M517</f>
        <v>1</v>
      </c>
      <c r="F209" s="37" t="str">
        <f t="shared" si="42"/>
        <v>R517</v>
      </c>
      <c r="G209" s="37" t="str">
        <f t="shared" si="43"/>
        <v xml:space="preserve">1 AMP + 1 ATP = 2 ADP </v>
      </c>
      <c r="H209" s="37" t="s">
        <v>1027</v>
      </c>
      <c r="I209" s="37" t="s">
        <v>1028</v>
      </c>
      <c r="J209" s="37" t="str">
        <f t="shared" si="44"/>
        <v>0</v>
      </c>
      <c r="K209" s="37" t="s">
        <v>195</v>
      </c>
      <c r="L209" s="37">
        <v>0</v>
      </c>
      <c r="M209" s="37">
        <v>0</v>
      </c>
      <c r="N209" s="37">
        <v>1</v>
      </c>
      <c r="O209" s="37">
        <v>1</v>
      </c>
      <c r="P209" s="37">
        <v>0</v>
      </c>
      <c r="Q209" s="37">
        <v>0.01</v>
      </c>
      <c r="AE209" t="str">
        <f t="shared" si="45"/>
        <v>1;1</v>
      </c>
      <c r="AF209" t="str">
        <f>CONCATENATE(AE209,$E$1,AE211)</f>
        <v>1;1;1;1</v>
      </c>
      <c r="AG209" t="str">
        <f>CONCATENATE(AF209,$E$1,AF213)</f>
        <v>1;1;1;1;1;1;1;1</v>
      </c>
      <c r="AH209" t="str">
        <f>CONCATENATE(AG209,$E$1,AG217)</f>
        <v>1;1;1;1;1;1;1;1;4;3;7;1;1;6;2;0</v>
      </c>
    </row>
    <row r="210" spans="1:34" x14ac:dyDescent="0.25">
      <c r="A210" t="str">
        <f>Master!A519</f>
        <v>R519</v>
      </c>
      <c r="B210" t="str">
        <f>Master!C519</f>
        <v xml:space="preserve">1 ATP + 1 GMP = 1 ADP + 1 GDP </v>
      </c>
      <c r="C210" t="str">
        <f>Master!F519</f>
        <v>N</v>
      </c>
      <c r="D210">
        <f>Master!M519</f>
        <v>1</v>
      </c>
      <c r="F210" s="37" t="str">
        <f t="shared" si="42"/>
        <v>R519</v>
      </c>
      <c r="G210" s="37" t="str">
        <f t="shared" si="43"/>
        <v xml:space="preserve">1 ATP + 1 GMP = 1 ADP + 1 GDP </v>
      </c>
      <c r="H210" s="37" t="s">
        <v>1027</v>
      </c>
      <c r="I210" s="37" t="s">
        <v>1028</v>
      </c>
      <c r="J210" s="37" t="str">
        <f t="shared" si="44"/>
        <v>0</v>
      </c>
      <c r="K210" s="37" t="s">
        <v>195</v>
      </c>
      <c r="L210" s="37">
        <v>0</v>
      </c>
      <c r="M210" s="37">
        <v>0</v>
      </c>
      <c r="N210" s="37">
        <v>1</v>
      </c>
      <c r="O210" s="37">
        <v>1</v>
      </c>
      <c r="P210" s="37">
        <v>0</v>
      </c>
      <c r="Q210" s="37">
        <v>0.01</v>
      </c>
      <c r="AE210" t="str">
        <f t="shared" si="45"/>
        <v>1;1</v>
      </c>
    </row>
    <row r="211" spans="1:34" x14ac:dyDescent="0.25">
      <c r="A211" t="str">
        <f>Master!A521</f>
        <v>R521</v>
      </c>
      <c r="B211" t="str">
        <f>Master!C521</f>
        <v xml:space="preserve">1 ATP + 1 GDP = 1 ADP + 1 GTP </v>
      </c>
      <c r="C211" t="str">
        <f>Master!F521</f>
        <v>N</v>
      </c>
      <c r="D211">
        <f>Master!M521</f>
        <v>1</v>
      </c>
      <c r="F211" s="37" t="str">
        <f t="shared" si="42"/>
        <v>R521</v>
      </c>
      <c r="G211" s="37" t="str">
        <f t="shared" si="43"/>
        <v xml:space="preserve">1 ATP + 1 GDP = 1 ADP + 1 GTP </v>
      </c>
      <c r="H211" s="37" t="s">
        <v>1027</v>
      </c>
      <c r="I211" s="37" t="s">
        <v>1028</v>
      </c>
      <c r="J211" s="37" t="str">
        <f t="shared" si="44"/>
        <v>0</v>
      </c>
      <c r="K211" s="37" t="s">
        <v>195</v>
      </c>
      <c r="L211" s="37">
        <v>0</v>
      </c>
      <c r="M211" s="37">
        <v>0</v>
      </c>
      <c r="N211" s="37">
        <v>1</v>
      </c>
      <c r="O211" s="37">
        <v>1</v>
      </c>
      <c r="P211" s="37">
        <v>0</v>
      </c>
      <c r="Q211" s="37">
        <v>0.01</v>
      </c>
      <c r="AE211" t="str">
        <f t="shared" si="45"/>
        <v>1;1</v>
      </c>
    </row>
    <row r="212" spans="1:34" x14ac:dyDescent="0.25">
      <c r="A212" t="str">
        <f>Master!A523</f>
        <v>R523</v>
      </c>
      <c r="B212" t="str">
        <f>Master!C523</f>
        <v xml:space="preserve">2 ATP + 1 CMP = 2 ADP + 1 CTP </v>
      </c>
      <c r="C212" t="str">
        <f>Master!F523</f>
        <v>N</v>
      </c>
      <c r="D212">
        <f>Master!M523</f>
        <v>1</v>
      </c>
      <c r="F212" s="37" t="str">
        <f t="shared" si="42"/>
        <v>R523</v>
      </c>
      <c r="G212" s="37" t="str">
        <f t="shared" si="43"/>
        <v xml:space="preserve">2 ATP + 1 CMP = 2 ADP + 1 CTP </v>
      </c>
      <c r="H212" s="37" t="s">
        <v>1027</v>
      </c>
      <c r="I212" s="37" t="s">
        <v>1028</v>
      </c>
      <c r="J212" s="37" t="str">
        <f t="shared" si="44"/>
        <v>0</v>
      </c>
      <c r="K212" s="37" t="s">
        <v>195</v>
      </c>
      <c r="L212" s="37">
        <v>0</v>
      </c>
      <c r="M212" s="37">
        <v>0</v>
      </c>
      <c r="N212" s="37">
        <v>1</v>
      </c>
      <c r="O212" s="37">
        <v>1</v>
      </c>
      <c r="P212" s="37">
        <v>0</v>
      </c>
      <c r="Q212" s="37">
        <v>0.01</v>
      </c>
      <c r="AE212" t="str">
        <f t="shared" si="45"/>
        <v>1;1</v>
      </c>
    </row>
    <row r="213" spans="1:34" x14ac:dyDescent="0.25">
      <c r="A213" t="str">
        <f>Master!A525</f>
        <v>R525</v>
      </c>
      <c r="B213" t="str">
        <f>Master!C525</f>
        <v xml:space="preserve">1 ADP + 1 thioredoxin_red = 1 dADP + 1 H2O + 1 thioredoxin_ox </v>
      </c>
      <c r="C213" t="str">
        <f>Master!F525</f>
        <v>N</v>
      </c>
      <c r="D213">
        <f>Master!M525</f>
        <v>1</v>
      </c>
      <c r="F213" s="37" t="str">
        <f t="shared" si="42"/>
        <v>R525</v>
      </c>
      <c r="G213" s="37" t="str">
        <f t="shared" si="43"/>
        <v xml:space="preserve">1 ADP + 1 thioredoxin_red = 1 dADP + 1 H2O + 1 thioredoxin_ox </v>
      </c>
      <c r="H213" s="37" t="s">
        <v>1027</v>
      </c>
      <c r="I213" s="37" t="s">
        <v>1028</v>
      </c>
      <c r="J213" s="37" t="str">
        <f t="shared" si="44"/>
        <v>0</v>
      </c>
      <c r="K213" s="37" t="s">
        <v>195</v>
      </c>
      <c r="L213" s="37">
        <v>0</v>
      </c>
      <c r="M213" s="37">
        <v>0</v>
      </c>
      <c r="N213" s="37">
        <v>1</v>
      </c>
      <c r="O213" s="37">
        <v>1</v>
      </c>
      <c r="P213" s="37">
        <v>0</v>
      </c>
      <c r="Q213" s="37">
        <v>0.01</v>
      </c>
      <c r="AE213" t="str">
        <f t="shared" si="45"/>
        <v>1;1</v>
      </c>
      <c r="AF213" t="str">
        <f t="shared" si="46"/>
        <v>1;1;1;1</v>
      </c>
    </row>
    <row r="214" spans="1:34" x14ac:dyDescent="0.25">
      <c r="A214" t="str">
        <f>Master!A527</f>
        <v>R527</v>
      </c>
      <c r="B214" t="str">
        <f>Master!C527</f>
        <v xml:space="preserve">1 GTP + 1 thioredoxin_red = 1 dGTP + 1 H2O + 1 thioredoxin_ox </v>
      </c>
      <c r="C214" t="str">
        <f>Master!F527</f>
        <v>N</v>
      </c>
      <c r="D214">
        <f>Master!M527</f>
        <v>1</v>
      </c>
      <c r="F214" s="37" t="str">
        <f t="shared" si="42"/>
        <v>R527</v>
      </c>
      <c r="G214" s="37" t="str">
        <f t="shared" si="43"/>
        <v xml:space="preserve">1 GTP + 1 thioredoxin_red = 1 dGTP + 1 H2O + 1 thioredoxin_ox </v>
      </c>
      <c r="H214" s="37" t="s">
        <v>1027</v>
      </c>
      <c r="I214" s="37" t="s">
        <v>1028</v>
      </c>
      <c r="J214" s="37" t="str">
        <f t="shared" si="44"/>
        <v>0</v>
      </c>
      <c r="K214" s="37" t="s">
        <v>195</v>
      </c>
      <c r="L214" s="37">
        <v>0</v>
      </c>
      <c r="M214" s="37">
        <v>0</v>
      </c>
      <c r="N214" s="37">
        <v>1</v>
      </c>
      <c r="O214" s="37">
        <v>1</v>
      </c>
      <c r="P214" s="37">
        <v>0</v>
      </c>
      <c r="Q214" s="37">
        <v>0.01</v>
      </c>
      <c r="AE214" t="str">
        <f t="shared" si="45"/>
        <v>1;1</v>
      </c>
    </row>
    <row r="215" spans="1:34" x14ac:dyDescent="0.25">
      <c r="A215" t="str">
        <f>Master!A529</f>
        <v>R529</v>
      </c>
      <c r="B215" t="str">
        <f>Master!C529</f>
        <v xml:space="preserve">1 ATP + 1 dADP = 1 ADP + 1 dATP </v>
      </c>
      <c r="C215" t="str">
        <f>Master!F529</f>
        <v>N</v>
      </c>
      <c r="D215">
        <f>Master!M529</f>
        <v>1</v>
      </c>
      <c r="F215" s="37" t="str">
        <f t="shared" si="42"/>
        <v>R529</v>
      </c>
      <c r="G215" s="37" t="str">
        <f t="shared" si="43"/>
        <v xml:space="preserve">1 ATP + 1 dADP = 1 ADP + 1 dATP </v>
      </c>
      <c r="H215" s="37" t="s">
        <v>1027</v>
      </c>
      <c r="I215" s="37" t="s">
        <v>1028</v>
      </c>
      <c r="J215" s="37" t="str">
        <f t="shared" si="44"/>
        <v>0</v>
      </c>
      <c r="K215" s="37" t="s">
        <v>195</v>
      </c>
      <c r="L215" s="37">
        <v>0</v>
      </c>
      <c r="M215" s="37">
        <v>0</v>
      </c>
      <c r="N215" s="37">
        <v>1</v>
      </c>
      <c r="O215" s="37">
        <v>1</v>
      </c>
      <c r="P215" s="37">
        <v>0</v>
      </c>
      <c r="Q215" s="37">
        <v>0.01</v>
      </c>
      <c r="AE215" t="str">
        <f t="shared" si="45"/>
        <v>1;1</v>
      </c>
    </row>
    <row r="216" spans="1:34" x14ac:dyDescent="0.25">
      <c r="A216" t="str">
        <f>Master!A531</f>
        <v>R531</v>
      </c>
      <c r="B216" t="str">
        <f>Master!C531</f>
        <v>1 myell_rRNA + 1 H2O = 0.16 AMP_deg + 0.22 UMP_deg + 0.35 CMP_deg + 0.27 GMP_deg</v>
      </c>
      <c r="C216" t="str">
        <f>Master!F531</f>
        <v>N</v>
      </c>
      <c r="D216">
        <f>Master!M531</f>
        <v>1</v>
      </c>
      <c r="F216" s="37" t="str">
        <f t="shared" si="42"/>
        <v>R531</v>
      </c>
      <c r="G216" s="37" t="str">
        <f t="shared" si="43"/>
        <v>1 myell_rRNA + 1 H2O = 0.16 AMP_deg + 0.22 UMP_deg + 0.35 CMP_deg + 0.27 GMP_deg</v>
      </c>
      <c r="H216" s="37" t="s">
        <v>1027</v>
      </c>
      <c r="I216" s="37" t="s">
        <v>1028</v>
      </c>
      <c r="J216" s="37" t="str">
        <f t="shared" si="44"/>
        <v>0</v>
      </c>
      <c r="K216" s="37" t="s">
        <v>195</v>
      </c>
      <c r="L216" s="37">
        <v>0</v>
      </c>
      <c r="M216" s="37">
        <v>0</v>
      </c>
      <c r="N216" s="37">
        <v>1</v>
      </c>
      <c r="O216" s="37">
        <v>1</v>
      </c>
      <c r="P216" s="37">
        <v>0</v>
      </c>
      <c r="Q216" s="37">
        <v>0.01</v>
      </c>
      <c r="AE216" t="str">
        <f t="shared" si="45"/>
        <v>1;4</v>
      </c>
    </row>
    <row r="217" spans="1:34" x14ac:dyDescent="0.25">
      <c r="A217" t="str">
        <f>Master!A533</f>
        <v>R533</v>
      </c>
      <c r="B217" t="str">
        <f>Master!C533</f>
        <v>1 AMP_deg + 3 H2O + 1 NAD = 1 Proton + 1 NADH + 1 NH3 + 1 ribose-5-phosphate + 1 xanthine</v>
      </c>
      <c r="C217" t="str">
        <f>Master!F533</f>
        <v>N</v>
      </c>
      <c r="D217">
        <f>Master!M533</f>
        <v>4</v>
      </c>
      <c r="F217" s="37" t="str">
        <f t="shared" si="42"/>
        <v>R533</v>
      </c>
      <c r="G217" s="37" t="str">
        <f t="shared" si="43"/>
        <v>1 AMP_deg + 3 H2O + 1 NAD = 1 Proton + 1 NADH + 1 NH3 + 1 ribose-5-phosphate + 1 xanthine</v>
      </c>
      <c r="H217" s="37" t="s">
        <v>1027</v>
      </c>
      <c r="I217" s="37" t="s">
        <v>1028</v>
      </c>
      <c r="J217" s="37" t="str">
        <f t="shared" si="44"/>
        <v>0</v>
      </c>
      <c r="K217" s="37" t="s">
        <v>195</v>
      </c>
      <c r="L217" s="37">
        <v>0</v>
      </c>
      <c r="M217" s="37">
        <v>0</v>
      </c>
      <c r="N217" s="37">
        <v>1</v>
      </c>
      <c r="O217" s="37">
        <v>1</v>
      </c>
      <c r="P217" s="37">
        <v>0</v>
      </c>
      <c r="Q217" s="37">
        <v>0.01</v>
      </c>
      <c r="AE217" t="str">
        <f t="shared" si="45"/>
        <v>4;3</v>
      </c>
      <c r="AF217" t="str">
        <f t="shared" si="46"/>
        <v>4;3;7;1</v>
      </c>
      <c r="AG217" t="str">
        <f t="shared" si="47"/>
        <v>4;3;7;1;1;6;2;0</v>
      </c>
    </row>
    <row r="218" spans="1:34" x14ac:dyDescent="0.25">
      <c r="A218" t="str">
        <f>Master!A539</f>
        <v>R539</v>
      </c>
      <c r="B218" t="str">
        <f>Master!C539</f>
        <v xml:space="preserve">1 GMP_deg + 2 H2O = 1 NH3 + 1 ribose-5-phosphate + 1 xanthine </v>
      </c>
      <c r="C218" t="str">
        <f>Master!F539</f>
        <v>N</v>
      </c>
      <c r="D218">
        <f>Master!M539</f>
        <v>3</v>
      </c>
      <c r="F218" s="37" t="str">
        <f t="shared" si="42"/>
        <v>R539</v>
      </c>
      <c r="G218" s="37" t="str">
        <f t="shared" si="43"/>
        <v xml:space="preserve">1 GMP_deg + 2 H2O = 1 NH3 + 1 ribose-5-phosphate + 1 xanthine </v>
      </c>
      <c r="H218" s="37" t="s">
        <v>1027</v>
      </c>
      <c r="I218" s="37" t="s">
        <v>1028</v>
      </c>
      <c r="J218" s="37" t="str">
        <f t="shared" si="44"/>
        <v>0</v>
      </c>
      <c r="K218" s="37" t="s">
        <v>195</v>
      </c>
      <c r="L218" s="37">
        <v>0</v>
      </c>
      <c r="M218" s="37">
        <v>0</v>
      </c>
      <c r="N218" s="37">
        <v>1</v>
      </c>
      <c r="O218" s="37">
        <v>1</v>
      </c>
      <c r="P218" s="37">
        <v>0</v>
      </c>
      <c r="Q218" s="37">
        <v>0.01</v>
      </c>
      <c r="AE218" t="str">
        <f t="shared" si="45"/>
        <v>3;7</v>
      </c>
    </row>
    <row r="219" spans="1:34" x14ac:dyDescent="0.25">
      <c r="A219" t="str">
        <f>Master!A544</f>
        <v>R544</v>
      </c>
      <c r="B219" t="str">
        <f>Master!C544</f>
        <v>1 xanthine + 5 H2O + 1 NAD + 1 O2 = 2 Proton + 1 NADH + 1 CO2 + 2 urea + 1 H2O2 + 1 glyoxylate</v>
      </c>
      <c r="C219" t="str">
        <f>Master!F544</f>
        <v>N</v>
      </c>
      <c r="D219">
        <f>Master!M544</f>
        <v>7</v>
      </c>
      <c r="F219" s="37" t="str">
        <f t="shared" si="42"/>
        <v>R544</v>
      </c>
      <c r="G219" s="37" t="str">
        <f t="shared" si="43"/>
        <v>1 xanthine + 5 H2O + 1 NAD + 1 O2 = 2 Proton + 1 NADH + 1 CO2 + 2 urea + 1 H2O2 + 1 glyoxylate</v>
      </c>
      <c r="H219" s="37" t="s">
        <v>1027</v>
      </c>
      <c r="I219" s="37" t="s">
        <v>1028</v>
      </c>
      <c r="J219" s="37" t="str">
        <f t="shared" si="44"/>
        <v>0</v>
      </c>
      <c r="K219" s="37" t="s">
        <v>195</v>
      </c>
      <c r="L219" s="37">
        <v>0</v>
      </c>
      <c r="M219" s="37">
        <v>0</v>
      </c>
      <c r="N219" s="37">
        <v>1</v>
      </c>
      <c r="O219" s="37">
        <v>1</v>
      </c>
      <c r="P219" s="37">
        <v>0</v>
      </c>
      <c r="Q219" s="37">
        <v>0.01</v>
      </c>
      <c r="AE219" t="str">
        <f t="shared" si="45"/>
        <v>7;1</v>
      </c>
    </row>
    <row r="220" spans="1:34" x14ac:dyDescent="0.25">
      <c r="A220" t="str">
        <f>Master!A553</f>
        <v>R553</v>
      </c>
      <c r="B220" t="str">
        <f>Master!C553</f>
        <v>1 D-ribose-1-phosphate = 1 ribose-5-phosphate</v>
      </c>
      <c r="C220" t="str">
        <f>Master!F553</f>
        <v>N</v>
      </c>
      <c r="D220">
        <f>Master!M553</f>
        <v>1</v>
      </c>
      <c r="F220" s="37" t="str">
        <f t="shared" si="42"/>
        <v>R553</v>
      </c>
      <c r="G220" s="37" t="str">
        <f t="shared" si="43"/>
        <v>1 D-ribose-1-phosphate = 1 ribose-5-phosphate</v>
      </c>
      <c r="H220" s="37" t="s">
        <v>1027</v>
      </c>
      <c r="I220" s="37" t="s">
        <v>1028</v>
      </c>
      <c r="J220" s="37" t="str">
        <f t="shared" si="44"/>
        <v>0</v>
      </c>
      <c r="K220" s="37" t="s">
        <v>195</v>
      </c>
      <c r="L220" s="37">
        <v>0</v>
      </c>
      <c r="M220" s="37">
        <v>0</v>
      </c>
      <c r="N220" s="37">
        <v>1</v>
      </c>
      <c r="O220" s="37">
        <v>1</v>
      </c>
      <c r="P220" s="37">
        <v>0</v>
      </c>
      <c r="Q220" s="37">
        <v>0.01</v>
      </c>
      <c r="AE220" t="str">
        <f t="shared" si="45"/>
        <v>1;1</v>
      </c>
    </row>
    <row r="221" spans="1:34" x14ac:dyDescent="0.25">
      <c r="A221" t="str">
        <f>Master!A555</f>
        <v>R555</v>
      </c>
      <c r="B221" t="str">
        <f>Master!C555</f>
        <v>1 H2O + 1 UMP_deg = 1 Phosphate + 1 uridine</v>
      </c>
      <c r="C221" t="str">
        <f>Master!F555</f>
        <v>N</v>
      </c>
      <c r="D221">
        <f>Master!M555</f>
        <v>1</v>
      </c>
      <c r="F221" s="37" t="str">
        <f t="shared" si="42"/>
        <v>R555</v>
      </c>
      <c r="G221" s="37" t="str">
        <f t="shared" si="43"/>
        <v>1 H2O + 1 UMP_deg = 1 Phosphate + 1 uridine</v>
      </c>
      <c r="H221" s="37" t="s">
        <v>1027</v>
      </c>
      <c r="I221" s="37" t="s">
        <v>1028</v>
      </c>
      <c r="J221" s="37" t="str">
        <f t="shared" si="44"/>
        <v>0</v>
      </c>
      <c r="K221" s="37" t="s">
        <v>195</v>
      </c>
      <c r="L221" s="37">
        <v>0</v>
      </c>
      <c r="M221" s="37">
        <v>0</v>
      </c>
      <c r="N221" s="37">
        <v>1</v>
      </c>
      <c r="O221" s="37">
        <v>1</v>
      </c>
      <c r="P221" s="37">
        <v>0</v>
      </c>
      <c r="Q221" s="37">
        <v>0.01</v>
      </c>
      <c r="AE221" t="str">
        <f t="shared" si="45"/>
        <v>1;6</v>
      </c>
      <c r="AF221" t="str">
        <f t="shared" si="46"/>
        <v>1;6;2;0</v>
      </c>
    </row>
    <row r="222" spans="1:34" x14ac:dyDescent="0.25">
      <c r="A222" t="str">
        <f>Master!A557</f>
        <v>R557</v>
      </c>
      <c r="B222" t="str">
        <f>Master!C557</f>
        <v>1 uridine + 1 Phosphate + 1 Proton + 2 H2O + 1 2-Oxoglutarate + 1 CoA = 1 D-ribose-1-phosphate + 1 NH3 + 2 CO2 + 1 L-Glutamate + 1 Acetyl-CoA</v>
      </c>
      <c r="C222" t="str">
        <f>Master!F557</f>
        <v>N</v>
      </c>
      <c r="D222">
        <f>Master!M557</f>
        <v>6</v>
      </c>
      <c r="F222" s="37" t="str">
        <f t="shared" si="42"/>
        <v>R557</v>
      </c>
      <c r="G222" s="37" t="str">
        <f t="shared" si="43"/>
        <v>1 uridine + 1 Phosphate + 1 Proton + 2 H2O + 1 2-Oxoglutarate + 1 CoA = 1 D-ribose-1-phosphate + 1 NH3 + 2 CO2 + 1 L-Glutamate + 1 Acetyl-CoA</v>
      </c>
      <c r="H222" s="37" t="s">
        <v>1027</v>
      </c>
      <c r="I222" s="37" t="s">
        <v>1028</v>
      </c>
      <c r="J222" s="37" t="str">
        <f t="shared" si="44"/>
        <v>0</v>
      </c>
      <c r="K222" s="37" t="s">
        <v>195</v>
      </c>
      <c r="L222" s="37">
        <v>0</v>
      </c>
      <c r="M222" s="37">
        <v>0</v>
      </c>
      <c r="N222" s="37">
        <v>1</v>
      </c>
      <c r="O222" s="37">
        <v>1</v>
      </c>
      <c r="P222" s="37">
        <v>0</v>
      </c>
      <c r="Q222" s="37">
        <v>0.01</v>
      </c>
      <c r="AE222" t="str">
        <f t="shared" si="45"/>
        <v>6;2</v>
      </c>
    </row>
    <row r="223" spans="1:34" x14ac:dyDescent="0.25">
      <c r="A223" t="str">
        <f>Master!A565</f>
        <v>R565</v>
      </c>
      <c r="B223" t="str">
        <f>Master!C565</f>
        <v xml:space="preserve">2 H2O + 1 CMP_deg = 1 Phosphate + 1 NH3 + 1 uridine </v>
      </c>
      <c r="C223" t="str">
        <f>Master!F565</f>
        <v>N</v>
      </c>
      <c r="D223">
        <f>Master!M565</f>
        <v>2</v>
      </c>
      <c r="F223" s="37" t="str">
        <f t="shared" si="42"/>
        <v>R565</v>
      </c>
      <c r="G223" s="37" t="str">
        <f t="shared" si="43"/>
        <v xml:space="preserve">2 H2O + 1 CMP_deg = 1 Phosphate + 1 NH3 + 1 uridine </v>
      </c>
      <c r="H223" s="37" t="s">
        <v>1027</v>
      </c>
      <c r="I223" s="37" t="s">
        <v>1028</v>
      </c>
      <c r="J223" s="37" t="str">
        <f t="shared" si="44"/>
        <v>0</v>
      </c>
      <c r="K223" s="37" t="s">
        <v>195</v>
      </c>
      <c r="L223" s="37">
        <v>0</v>
      </c>
      <c r="M223" s="37">
        <v>0</v>
      </c>
      <c r="N223" s="37">
        <v>1</v>
      </c>
      <c r="O223" s="37">
        <v>1</v>
      </c>
      <c r="P223" s="37">
        <v>0</v>
      </c>
      <c r="Q223" s="37">
        <v>0.01</v>
      </c>
      <c r="AE223" t="str">
        <f t="shared" si="45"/>
        <v>2;0</v>
      </c>
    </row>
    <row r="224" spans="1:34" x14ac:dyDescent="0.25">
      <c r="A224" t="str">
        <f>Master!A569</f>
        <v>R569</v>
      </c>
      <c r="B224" t="str">
        <f>Master!C569</f>
        <v>1 AMP_deg = 1 AMP</v>
      </c>
      <c r="C224" t="str">
        <f>Master!F569</f>
        <v>N</v>
      </c>
      <c r="D224">
        <f>Master!M569</f>
        <v>0</v>
      </c>
      <c r="F224" s="37" t="str">
        <f t="shared" si="42"/>
        <v>R569</v>
      </c>
      <c r="G224" s="37" t="str">
        <f t="shared" si="43"/>
        <v>1 AMP_deg = 1 AMP</v>
      </c>
      <c r="H224" s="37" t="s">
        <v>1027</v>
      </c>
      <c r="I224" s="37" t="s">
        <v>1028</v>
      </c>
      <c r="J224" s="37" t="str">
        <f t="shared" si="44"/>
        <v>0</v>
      </c>
      <c r="K224" s="37" t="s">
        <v>195</v>
      </c>
      <c r="L224" s="37">
        <v>0</v>
      </c>
      <c r="M224" s="37">
        <v>0</v>
      </c>
      <c r="N224" s="37">
        <v>1</v>
      </c>
      <c r="O224" s="37">
        <v>1</v>
      </c>
      <c r="P224" s="37">
        <v>0</v>
      </c>
      <c r="Q224" s="37">
        <v>0.01</v>
      </c>
      <c r="AE224" t="str">
        <f t="shared" si="45"/>
        <v>0;0</v>
      </c>
    </row>
    <row r="225" spans="1:35" x14ac:dyDescent="0.25">
      <c r="A225" t="str">
        <f>Master!A571</f>
        <v>R571</v>
      </c>
      <c r="B225" t="str">
        <f>Master!C571</f>
        <v>1 GMP_deg = 1 GMP</v>
      </c>
      <c r="C225" t="str">
        <f>Master!F571</f>
        <v>N</v>
      </c>
      <c r="D225">
        <f>Master!M571</f>
        <v>0</v>
      </c>
      <c r="F225" s="37" t="str">
        <f t="shared" si="42"/>
        <v>R571</v>
      </c>
      <c r="G225" s="37" t="str">
        <f t="shared" si="43"/>
        <v>1 GMP_deg = 1 GMP</v>
      </c>
      <c r="H225" s="37" t="s">
        <v>1027</v>
      </c>
      <c r="I225" s="37" t="s">
        <v>1028</v>
      </c>
      <c r="J225" s="37" t="str">
        <f t="shared" si="44"/>
        <v>0</v>
      </c>
      <c r="K225" s="37" t="s">
        <v>195</v>
      </c>
      <c r="L225" s="37">
        <v>0</v>
      </c>
      <c r="M225" s="37">
        <v>0</v>
      </c>
      <c r="N225" s="37">
        <v>1</v>
      </c>
      <c r="O225" s="37">
        <v>1</v>
      </c>
      <c r="P225" s="37">
        <v>0</v>
      </c>
      <c r="Q225" s="37">
        <v>0.01</v>
      </c>
      <c r="AE225" t="str">
        <f t="shared" si="45"/>
        <v>0;0</v>
      </c>
      <c r="AF225" t="str">
        <f>CONCATENATE(AE225,$E$1,AE227)</f>
        <v>0;0;0;1</v>
      </c>
      <c r="AG225" t="str">
        <f>CONCATENATE(AF225,$E$1,AF229)</f>
        <v>0;0;0;1;1;1;1;1</v>
      </c>
      <c r="AH225" t="str">
        <f>CONCATENATE(AG225,$E$1,AG233)</f>
        <v>0;0;0;1;1;1;1;1;1;1;1;1;1;1;1;1</v>
      </c>
      <c r="AI225" t="str">
        <f>CONCATENATE(AH225,$E$1,AH241)</f>
        <v>0;0;0;1;1;1;1;1;1;1;1;1;1;1;1;1;0;1;1;1;1;1;1;1;1;1;1;1;1;1;1;1</v>
      </c>
    </row>
    <row r="226" spans="1:35" x14ac:dyDescent="0.25">
      <c r="A226" t="str">
        <f>Master!A573</f>
        <v>R573</v>
      </c>
      <c r="B226" t="str">
        <f>Master!C573</f>
        <v>1 UMP_deg = 1 UMP</v>
      </c>
      <c r="C226" t="str">
        <f>Master!F573</f>
        <v>N</v>
      </c>
      <c r="D226">
        <f>Master!M573</f>
        <v>0</v>
      </c>
      <c r="F226" s="37" t="str">
        <f t="shared" si="42"/>
        <v>R573</v>
      </c>
      <c r="G226" s="37" t="str">
        <f t="shared" si="43"/>
        <v>1 UMP_deg = 1 UMP</v>
      </c>
      <c r="H226" s="37" t="s">
        <v>1027</v>
      </c>
      <c r="I226" s="37" t="s">
        <v>1028</v>
      </c>
      <c r="J226" s="37" t="str">
        <f t="shared" si="44"/>
        <v>0</v>
      </c>
      <c r="K226" s="37" t="s">
        <v>195</v>
      </c>
      <c r="L226" s="37">
        <v>0</v>
      </c>
      <c r="M226" s="37">
        <v>0</v>
      </c>
      <c r="N226" s="37">
        <v>1</v>
      </c>
      <c r="O226" s="37">
        <v>1</v>
      </c>
      <c r="P226" s="37">
        <v>0</v>
      </c>
      <c r="Q226" s="37">
        <v>0.01</v>
      </c>
      <c r="AE226" t="str">
        <f t="shared" si="45"/>
        <v>0;0</v>
      </c>
    </row>
    <row r="227" spans="1:35" x14ac:dyDescent="0.25">
      <c r="A227" t="str">
        <f>Master!A575</f>
        <v>R575</v>
      </c>
      <c r="B227" t="str">
        <f>Master!C575</f>
        <v>1 CMP_deg = 1 CMP</v>
      </c>
      <c r="C227" t="str">
        <f>Master!F575</f>
        <v>N</v>
      </c>
      <c r="D227">
        <f>Master!M575</f>
        <v>0</v>
      </c>
      <c r="F227" s="37" t="str">
        <f t="shared" si="42"/>
        <v>R575</v>
      </c>
      <c r="G227" s="37" t="str">
        <f t="shared" si="43"/>
        <v>1 CMP_deg = 1 CMP</v>
      </c>
      <c r="H227" s="37" t="s">
        <v>1027</v>
      </c>
      <c r="I227" s="37" t="s">
        <v>1028</v>
      </c>
      <c r="J227" s="37" t="str">
        <f t="shared" si="44"/>
        <v>0</v>
      </c>
      <c r="K227" s="37" t="s">
        <v>195</v>
      </c>
      <c r="L227" s="37">
        <v>0</v>
      </c>
      <c r="M227" s="37">
        <v>0</v>
      </c>
      <c r="N227" s="37">
        <v>1</v>
      </c>
      <c r="O227" s="37">
        <v>1</v>
      </c>
      <c r="P227" s="37">
        <v>0</v>
      </c>
      <c r="Q227" s="37">
        <v>0.01</v>
      </c>
      <c r="AE227" t="str">
        <f t="shared" si="45"/>
        <v>0;1</v>
      </c>
    </row>
    <row r="228" spans="1:35" x14ac:dyDescent="0.25">
      <c r="A228" t="str">
        <f>Master!A577</f>
        <v>R577</v>
      </c>
      <c r="B228" t="str">
        <f>Master!C577</f>
        <v xml:space="preserve">1 NADP + 1 thioredoxin_red = 1 NADPH + 1 Proton + 1 thioredoxin_ox </v>
      </c>
      <c r="C228" t="str">
        <f>Master!F577</f>
        <v>Y</v>
      </c>
      <c r="D228">
        <f>Master!M577</f>
        <v>1</v>
      </c>
      <c r="F228" s="37" t="str">
        <f t="shared" si="42"/>
        <v>R577</v>
      </c>
      <c r="G228" s="37" t="str">
        <f t="shared" si="43"/>
        <v xml:space="preserve">1 NADP + 1 thioredoxin_red = 1 NADPH + 1 Proton + 1 thioredoxin_ox </v>
      </c>
      <c r="H228" s="37" t="s">
        <v>1027</v>
      </c>
      <c r="I228" s="37" t="s">
        <v>1028</v>
      </c>
      <c r="J228" s="37" t="str">
        <f t="shared" si="44"/>
        <v>-inf</v>
      </c>
      <c r="K228" s="37" t="s">
        <v>195</v>
      </c>
      <c r="L228" s="37">
        <v>0</v>
      </c>
      <c r="M228" s="37">
        <v>0</v>
      </c>
      <c r="N228" s="37">
        <v>1</v>
      </c>
      <c r="O228" s="37">
        <v>1</v>
      </c>
      <c r="P228" s="37">
        <v>0</v>
      </c>
      <c r="Q228" s="37">
        <v>0.01</v>
      </c>
      <c r="AE228" t="str">
        <f t="shared" si="45"/>
        <v>1;1</v>
      </c>
    </row>
    <row r="229" spans="1:35" x14ac:dyDescent="0.25">
      <c r="A229" t="str">
        <f>Master!A580</f>
        <v>R580</v>
      </c>
      <c r="B229" t="str">
        <f>Master!C580</f>
        <v xml:space="preserve">1 Q + 1 NADH + 5 Proton = 1 QH2 + 1 NAD + 4 proton_out </v>
      </c>
      <c r="C229" t="str">
        <f>Master!F580</f>
        <v>N</v>
      </c>
      <c r="D229">
        <f>Master!M580</f>
        <v>1</v>
      </c>
      <c r="F229" s="37" t="str">
        <f t="shared" si="42"/>
        <v>R580</v>
      </c>
      <c r="G229" s="37" t="str">
        <f t="shared" si="43"/>
        <v xml:space="preserve">1 Q + 1 NADH + 5 Proton = 1 QH2 + 1 NAD + 4 proton_out </v>
      </c>
      <c r="H229" s="37" t="s">
        <v>1027</v>
      </c>
      <c r="I229" s="37" t="s">
        <v>1028</v>
      </c>
      <c r="J229" s="37" t="str">
        <f t="shared" si="44"/>
        <v>0</v>
      </c>
      <c r="K229" s="37" t="s">
        <v>195</v>
      </c>
      <c r="L229" s="37">
        <v>0</v>
      </c>
      <c r="M229" s="37">
        <v>0</v>
      </c>
      <c r="N229" s="37">
        <v>1</v>
      </c>
      <c r="O229" s="37">
        <v>1</v>
      </c>
      <c r="P229" s="37">
        <v>0</v>
      </c>
      <c r="Q229" s="37">
        <v>0.01</v>
      </c>
      <c r="AE229" t="str">
        <f t="shared" si="45"/>
        <v>1;1</v>
      </c>
      <c r="AF229" t="str">
        <f t="shared" si="46"/>
        <v>1;1;1;1</v>
      </c>
    </row>
    <row r="230" spans="1:35" x14ac:dyDescent="0.25">
      <c r="A230" t="str">
        <f>Master!A591</f>
        <v>R591</v>
      </c>
      <c r="B230" t="str">
        <f>Master!C591</f>
        <v xml:space="preserve">1 QH2 + 2 ferricyt_c = 1 Q + 2 ferrocyt_c + 2 proton_out </v>
      </c>
      <c r="C230" t="str">
        <f>Master!F591</f>
        <v>Y</v>
      </c>
      <c r="D230">
        <f>Master!M591</f>
        <v>1</v>
      </c>
      <c r="F230" s="37" t="str">
        <f t="shared" si="42"/>
        <v>R591</v>
      </c>
      <c r="G230" s="37" t="str">
        <f t="shared" si="43"/>
        <v xml:space="preserve">1 QH2 + 2 ferricyt_c = 1 Q + 2 ferrocyt_c + 2 proton_out </v>
      </c>
      <c r="H230" s="37" t="s">
        <v>1027</v>
      </c>
      <c r="I230" s="37" t="s">
        <v>1028</v>
      </c>
      <c r="J230" s="37" t="str">
        <f t="shared" si="44"/>
        <v>-inf</v>
      </c>
      <c r="K230" s="37" t="s">
        <v>195</v>
      </c>
      <c r="L230" s="37">
        <v>0</v>
      </c>
      <c r="M230" s="37">
        <v>0</v>
      </c>
      <c r="N230" s="37">
        <v>1</v>
      </c>
      <c r="O230" s="37">
        <v>1</v>
      </c>
      <c r="P230" s="37">
        <v>0</v>
      </c>
      <c r="Q230" s="37">
        <v>0.01</v>
      </c>
      <c r="AE230" t="str">
        <f t="shared" si="45"/>
        <v>1;1</v>
      </c>
    </row>
    <row r="231" spans="1:35" x14ac:dyDescent="0.25">
      <c r="A231" t="str">
        <f>Master!A593</f>
        <v>R593</v>
      </c>
      <c r="B231" t="str">
        <f>Master!C593</f>
        <v xml:space="preserve">2 QH2 + 1 O2 + 4 Proton = 2 Q + 2 H2O + 4 proton_out </v>
      </c>
      <c r="C231" t="str">
        <f>Master!F593</f>
        <v>N</v>
      </c>
      <c r="D231">
        <f>Master!M593</f>
        <v>1</v>
      </c>
      <c r="F231" s="37" t="str">
        <f t="shared" si="42"/>
        <v>R593</v>
      </c>
      <c r="G231" s="37" t="str">
        <f t="shared" si="43"/>
        <v xml:space="preserve">2 QH2 + 1 O2 + 4 Proton = 2 Q + 2 H2O + 4 proton_out </v>
      </c>
      <c r="H231" s="37" t="s">
        <v>1027</v>
      </c>
      <c r="I231" s="37" t="s">
        <v>1028</v>
      </c>
      <c r="J231" s="37" t="str">
        <f t="shared" si="44"/>
        <v>0</v>
      </c>
      <c r="K231" s="37" t="s">
        <v>195</v>
      </c>
      <c r="L231" s="37">
        <v>0</v>
      </c>
      <c r="M231" s="37">
        <v>0</v>
      </c>
      <c r="N231" s="37">
        <v>1</v>
      </c>
      <c r="O231" s="37">
        <v>1</v>
      </c>
      <c r="P231" s="37">
        <v>0</v>
      </c>
      <c r="Q231" s="37">
        <v>0.01</v>
      </c>
      <c r="AE231" t="str">
        <f t="shared" si="45"/>
        <v>1;1</v>
      </c>
    </row>
    <row r="232" spans="1:35" x14ac:dyDescent="0.25">
      <c r="A232" t="str">
        <f>Master!A595</f>
        <v>R595</v>
      </c>
      <c r="B232" t="str">
        <f>Master!C595</f>
        <v xml:space="preserve">4 ferrocyt_c + 1 O2 + 8 Proton = 4 ferricyt_c + 2 H2O + 4 proton_out </v>
      </c>
      <c r="C232" t="str">
        <f>Master!F595</f>
        <v>N</v>
      </c>
      <c r="D232">
        <f>Master!M595</f>
        <v>1</v>
      </c>
      <c r="F232" s="37" t="str">
        <f t="shared" si="42"/>
        <v>R595</v>
      </c>
      <c r="G232" s="37" t="str">
        <f t="shared" si="43"/>
        <v xml:space="preserve">4 ferrocyt_c + 1 O2 + 8 Proton = 4 ferricyt_c + 2 H2O + 4 proton_out </v>
      </c>
      <c r="H232" s="37" t="s">
        <v>1027</v>
      </c>
      <c r="I232" s="37" t="s">
        <v>1028</v>
      </c>
      <c r="J232" s="37" t="str">
        <f t="shared" si="44"/>
        <v>0</v>
      </c>
      <c r="K232" s="37" t="s">
        <v>195</v>
      </c>
      <c r="L232" s="37">
        <v>0</v>
      </c>
      <c r="M232" s="37">
        <v>0</v>
      </c>
      <c r="N232" s="37">
        <v>1</v>
      </c>
      <c r="O232" s="37">
        <v>1</v>
      </c>
      <c r="P232" s="37">
        <v>0</v>
      </c>
      <c r="Q232" s="37">
        <v>0.01</v>
      </c>
      <c r="AE232" t="str">
        <f t="shared" si="45"/>
        <v>1;1</v>
      </c>
    </row>
    <row r="233" spans="1:35" x14ac:dyDescent="0.25">
      <c r="A233" t="str">
        <f>Master!A598</f>
        <v>R598</v>
      </c>
      <c r="B233" t="str">
        <f>Master!C598</f>
        <v xml:space="preserve">1 ADP + 1 Phosphate + 4 proton_out = 1 ATP + 1 H2O + 3 Proton </v>
      </c>
      <c r="C233" t="str">
        <f>Master!F598</f>
        <v>Y</v>
      </c>
      <c r="D233">
        <f>Master!M598</f>
        <v>1</v>
      </c>
      <c r="F233" s="37" t="str">
        <f t="shared" si="42"/>
        <v>R598</v>
      </c>
      <c r="G233" s="37" t="str">
        <f t="shared" si="43"/>
        <v xml:space="preserve">1 ADP + 1 Phosphate + 4 proton_out = 1 ATP + 1 H2O + 3 Proton </v>
      </c>
      <c r="H233" s="37" t="s">
        <v>1027</v>
      </c>
      <c r="I233" s="37" t="s">
        <v>1028</v>
      </c>
      <c r="J233" s="37" t="str">
        <f t="shared" si="44"/>
        <v>-inf</v>
      </c>
      <c r="K233" s="37" t="s">
        <v>195</v>
      </c>
      <c r="L233" s="37">
        <v>0</v>
      </c>
      <c r="M233" s="37">
        <v>0</v>
      </c>
      <c r="N233" s="37">
        <v>1</v>
      </c>
      <c r="O233" s="37">
        <v>1</v>
      </c>
      <c r="P233" s="37">
        <v>0</v>
      </c>
      <c r="Q233" s="37">
        <v>0.01</v>
      </c>
      <c r="AE233" t="str">
        <f t="shared" si="45"/>
        <v>1;1</v>
      </c>
      <c r="AF233" t="str">
        <f t="shared" si="46"/>
        <v>1;1;1;1</v>
      </c>
      <c r="AG233" t="str">
        <f t="shared" si="47"/>
        <v>1;1;1;1;1;1;1;1</v>
      </c>
    </row>
    <row r="234" spans="1:35" x14ac:dyDescent="0.25">
      <c r="A234" t="str">
        <f>Master!A608</f>
        <v>R608</v>
      </c>
      <c r="B234" t="str">
        <f>Master!C608</f>
        <v>100 ATP + 5.7 L-Alanine + 0.8 L-Cysteine + 4.4 L-Aspartate + 7.4 L-Glutamate + 5 L-Phenylalanine + 5.9 Glycine + 1.4 L-Histidine + 10.6 L-Isoleucine + 8.8 L-Lysine + 10.2 L-Leucine + 1.9 L-Methionine + 5.4 L-Asparagine + 3.6 L-Proline + 2 L-Glutamine + 4.1 L-Arginine + 6.5 L-Serine + 4.2 L-Threonine + 6.3 L-Valine + 0.9 L-Tryptophan + 4.6 L-Tyrosine + 198 GTP + 199 H2O = 100 AMP + 198 GDP + 1 peptide_biomass + 198 Phosphate + 100 PPi + 299 Proton</v>
      </c>
      <c r="C234" t="str">
        <f>Master!F608</f>
        <v>N</v>
      </c>
      <c r="D234">
        <f>Master!M608</f>
        <v>1</v>
      </c>
      <c r="F234" s="37" t="str">
        <f t="shared" si="42"/>
        <v>R608</v>
      </c>
      <c r="G234" s="37" t="str">
        <f t="shared" si="43"/>
        <v>100 ATP + 5.7 L-Alanine + 0.8 L-Cysteine + 4.4 L-Aspartate + 7.4 L-Glutamate + 5 L-Phenylalanine + 5.9 Glycine + 1.4 L-Histidine + 10.6 L-Isoleucine + 8.8 L-Lysine + 10.2 L-Leucine + 1.9 L-Methionine + 5.4 L-Asparagine + 3.6 L-Proline + 2 L-Glutamine + 4.1 L-Arginine + 6.5 L-Serine + 4.2 L-Threonine + 6.3 L-Valine + 0.9 L-Tryptophan + 4.6 L-Tyrosine + 198 GTP + 199 H2O = 100 AMP + 198 GDP + 1 peptide_biomass + 198 Phosphate + 100 PPi + 299 Proton</v>
      </c>
      <c r="H234" s="37" t="s">
        <v>1027</v>
      </c>
      <c r="I234" s="37" t="s">
        <v>1028</v>
      </c>
      <c r="J234" s="37" t="str">
        <f t="shared" si="44"/>
        <v>0</v>
      </c>
      <c r="K234" s="37" t="s">
        <v>195</v>
      </c>
      <c r="L234" s="37">
        <v>0</v>
      </c>
      <c r="M234" s="37">
        <v>0</v>
      </c>
      <c r="N234" s="37">
        <v>1</v>
      </c>
      <c r="O234" s="37">
        <v>1</v>
      </c>
      <c r="P234" s="37">
        <v>0</v>
      </c>
      <c r="Q234" s="37">
        <v>0.01</v>
      </c>
      <c r="AE234" t="str">
        <f t="shared" si="45"/>
        <v>1;1</v>
      </c>
    </row>
    <row r="235" spans="1:35" x14ac:dyDescent="0.25">
      <c r="A235" t="str">
        <f>Master!A610</f>
        <v>R610</v>
      </c>
      <c r="B235" t="str">
        <f>Master!C610</f>
        <v>0.18 ATP + 0.25 UTP + 0.32 CTP + 0.25 GTP = 1 rRNA + 1 PPi</v>
      </c>
      <c r="C235" t="str">
        <f>Master!F610</f>
        <v>N</v>
      </c>
      <c r="D235">
        <f>Master!M610</f>
        <v>1</v>
      </c>
      <c r="F235" s="37" t="str">
        <f t="shared" si="42"/>
        <v>R610</v>
      </c>
      <c r="G235" s="37" t="str">
        <f t="shared" si="43"/>
        <v>0.18 ATP + 0.25 UTP + 0.32 CTP + 0.25 GTP = 1 rRNA + 1 PPi</v>
      </c>
      <c r="H235" s="37" t="s">
        <v>1027</v>
      </c>
      <c r="I235" s="37" t="s">
        <v>1028</v>
      </c>
      <c r="J235" s="37" t="str">
        <f t="shared" si="44"/>
        <v>0</v>
      </c>
      <c r="K235" s="37" t="s">
        <v>195</v>
      </c>
      <c r="L235" s="37">
        <v>0</v>
      </c>
      <c r="M235" s="37">
        <v>0</v>
      </c>
      <c r="N235" s="37">
        <v>1</v>
      </c>
      <c r="O235" s="37">
        <v>1</v>
      </c>
      <c r="P235" s="37">
        <v>0</v>
      </c>
      <c r="Q235" s="37">
        <v>0.01</v>
      </c>
      <c r="AE235" t="str">
        <f t="shared" si="45"/>
        <v>1;1</v>
      </c>
    </row>
    <row r="236" spans="1:35" x14ac:dyDescent="0.25">
      <c r="A236" t="str">
        <f>Master!A612</f>
        <v>R612</v>
      </c>
      <c r="B236" t="str">
        <f>Master!C612</f>
        <v>0.34 dATP + 0.34 dTTP + 0.16 dCTP + 0.16 dGTP = 1 DNA + 1 PPi</v>
      </c>
      <c r="C236" t="str">
        <f>Master!F612</f>
        <v>N</v>
      </c>
      <c r="D236">
        <f>Master!M612</f>
        <v>1</v>
      </c>
      <c r="F236" s="37" t="str">
        <f t="shared" si="42"/>
        <v>R612</v>
      </c>
      <c r="G236" s="37" t="str">
        <f t="shared" si="43"/>
        <v>0.34 dATP + 0.34 dTTP + 0.16 dCTP + 0.16 dGTP = 1 DNA + 1 PPi</v>
      </c>
      <c r="H236" s="37" t="s">
        <v>1027</v>
      </c>
      <c r="I236" s="37" t="s">
        <v>1028</v>
      </c>
      <c r="J236" s="37" t="str">
        <f t="shared" si="44"/>
        <v>0</v>
      </c>
      <c r="K236" s="37" t="s">
        <v>195</v>
      </c>
      <c r="L236" s="37">
        <v>0</v>
      </c>
      <c r="M236" s="37">
        <v>0</v>
      </c>
      <c r="N236" s="37">
        <v>1</v>
      </c>
      <c r="O236" s="37">
        <v>1</v>
      </c>
      <c r="P236" s="37">
        <v>0</v>
      </c>
      <c r="Q236" s="37">
        <v>0.01</v>
      </c>
      <c r="AE236" t="str">
        <f t="shared" si="45"/>
        <v>1;1</v>
      </c>
    </row>
    <row r="237" spans="1:35" x14ac:dyDescent="0.25">
      <c r="A237" t="str">
        <f>Master!A614</f>
        <v>R614</v>
      </c>
      <c r="B237" t="str">
        <f>Master!C614</f>
        <v>0.065 DNA + 0.502 rRNA + 0.129 C25-C25 + 0.678 glucose-6-phosphate + 0.053 peptide_biomass + 150 Maintenance_energy = 1 kg_biomass + 0.678 Phosphate</v>
      </c>
      <c r="C237" t="str">
        <f>Master!F614</f>
        <v>N</v>
      </c>
      <c r="D237">
        <f>Master!M614</f>
        <v>1</v>
      </c>
      <c r="F237" s="37" t="str">
        <f t="shared" si="42"/>
        <v>R614</v>
      </c>
      <c r="G237" s="37" t="str">
        <f t="shared" si="43"/>
        <v>0.065 DNA + 0.502 rRNA + 0.129 C25-C25 + 0.678 glucose-6-phosphate + 0.053 peptide_biomass + 150 Maintenance_energy = 1 kg_biomass + 0.678 Phosphate</v>
      </c>
      <c r="H237" s="37" t="s">
        <v>1027</v>
      </c>
      <c r="I237" s="37" t="s">
        <v>1028</v>
      </c>
      <c r="J237" s="37" t="str">
        <f t="shared" si="44"/>
        <v>0</v>
      </c>
      <c r="K237" s="37" t="s">
        <v>195</v>
      </c>
      <c r="L237" s="37">
        <v>0</v>
      </c>
      <c r="M237" s="37">
        <v>0</v>
      </c>
      <c r="N237" s="37">
        <v>1</v>
      </c>
      <c r="O237" s="37">
        <v>1</v>
      </c>
      <c r="P237" s="37">
        <v>0</v>
      </c>
      <c r="Q237" s="37">
        <v>0.01</v>
      </c>
      <c r="AE237" t="str">
        <f t="shared" si="45"/>
        <v>1;1</v>
      </c>
      <c r="AF237" t="str">
        <f t="shared" si="46"/>
        <v>1;1;1;1</v>
      </c>
    </row>
    <row r="238" spans="1:35" x14ac:dyDescent="0.25">
      <c r="A238" t="str">
        <f>Master!A616</f>
        <v>R616</v>
      </c>
      <c r="B238" t="str">
        <f>Master!C616</f>
        <v>1 kg_biomass = 1 kg_biomass_EXT</v>
      </c>
      <c r="C238" t="str">
        <f>Master!F616</f>
        <v>N</v>
      </c>
      <c r="D238">
        <f>Master!M616</f>
        <v>1</v>
      </c>
      <c r="F238" s="37" t="str">
        <f t="shared" si="42"/>
        <v>R616</v>
      </c>
      <c r="G238" s="37" t="str">
        <f t="shared" si="43"/>
        <v>1 kg_biomass = 1 kg_biomass_EXT</v>
      </c>
      <c r="H238" s="37" t="s">
        <v>1027</v>
      </c>
      <c r="I238" s="37" t="s">
        <v>1028</v>
      </c>
      <c r="J238" s="37" t="str">
        <f t="shared" si="44"/>
        <v>0</v>
      </c>
      <c r="K238" s="37" t="s">
        <v>195</v>
      </c>
      <c r="L238" s="37">
        <v>0</v>
      </c>
      <c r="M238" s="37">
        <v>0</v>
      </c>
      <c r="N238" s="37">
        <v>1</v>
      </c>
      <c r="O238" s="37">
        <v>1</v>
      </c>
      <c r="P238" s="37">
        <v>0</v>
      </c>
      <c r="Q238" s="37">
        <v>0.01</v>
      </c>
      <c r="AE238" t="str">
        <f t="shared" si="45"/>
        <v>1;1</v>
      </c>
    </row>
    <row r="239" spans="1:35" x14ac:dyDescent="0.25">
      <c r="A239" t="str">
        <f>Master!A618</f>
        <v>R618</v>
      </c>
      <c r="B239" t="str">
        <f>Master!C618</f>
        <v xml:space="preserve">1 FAD + 1 NADH + 1 Proton = 1 FADH2 + 1 NAD </v>
      </c>
      <c r="C239" t="str">
        <f>Master!F618</f>
        <v>Y</v>
      </c>
      <c r="D239">
        <f>Master!M618</f>
        <v>1</v>
      </c>
      <c r="F239" s="37" t="str">
        <f t="shared" si="42"/>
        <v>R618</v>
      </c>
      <c r="G239" s="37" t="str">
        <f t="shared" si="43"/>
        <v xml:space="preserve">1 FAD + 1 NADH + 1 Proton = 1 FADH2 + 1 NAD </v>
      </c>
      <c r="H239" s="37" t="s">
        <v>1027</v>
      </c>
      <c r="I239" s="37" t="s">
        <v>1028</v>
      </c>
      <c r="J239" s="37" t="str">
        <f t="shared" si="44"/>
        <v>-inf</v>
      </c>
      <c r="K239" s="37" t="s">
        <v>195</v>
      </c>
      <c r="L239" s="37">
        <v>0</v>
      </c>
      <c r="M239" s="37">
        <v>0</v>
      </c>
      <c r="N239" s="37">
        <v>1</v>
      </c>
      <c r="O239" s="37">
        <v>1</v>
      </c>
      <c r="P239" s="37">
        <v>0</v>
      </c>
      <c r="Q239" s="37">
        <v>0.01</v>
      </c>
      <c r="AE239" t="str">
        <f t="shared" si="45"/>
        <v>1;1</v>
      </c>
    </row>
    <row r="240" spans="1:35" x14ac:dyDescent="0.25">
      <c r="A240" t="str">
        <f>Master!A620</f>
        <v>R620</v>
      </c>
      <c r="B240" t="str">
        <f>Master!C620</f>
        <v xml:space="preserve">1 NAD + 1 NADPH = 1 NADH + 1 NADP </v>
      </c>
      <c r="C240" t="str">
        <f>Master!F620</f>
        <v>Y</v>
      </c>
      <c r="D240">
        <f>Master!M620</f>
        <v>1</v>
      </c>
      <c r="F240" s="37" t="str">
        <f t="shared" si="42"/>
        <v>R620</v>
      </c>
      <c r="G240" s="37" t="str">
        <f t="shared" si="43"/>
        <v xml:space="preserve">1 NAD + 1 NADPH = 1 NADH + 1 NADP </v>
      </c>
      <c r="H240" s="37" t="s">
        <v>1027</v>
      </c>
      <c r="I240" s="37" t="s">
        <v>1028</v>
      </c>
      <c r="J240" s="37" t="str">
        <f t="shared" si="44"/>
        <v>-inf</v>
      </c>
      <c r="K240" s="37" t="s">
        <v>195</v>
      </c>
      <c r="L240" s="37">
        <v>0</v>
      </c>
      <c r="M240" s="37">
        <v>0</v>
      </c>
      <c r="N240" s="37">
        <v>1</v>
      </c>
      <c r="O240" s="37">
        <v>1</v>
      </c>
      <c r="P240" s="37">
        <v>0</v>
      </c>
      <c r="Q240" s="37">
        <v>0.01</v>
      </c>
      <c r="AE240" t="str">
        <f t="shared" si="45"/>
        <v>1;0</v>
      </c>
    </row>
    <row r="241" spans="1:34" x14ac:dyDescent="0.25">
      <c r="A241" t="str">
        <f>Master!A622</f>
        <v>R622</v>
      </c>
      <c r="B241" t="str">
        <f>Master!C622</f>
        <v xml:space="preserve">1 proton_external = 1 Proton </v>
      </c>
      <c r="C241" t="str">
        <f>Master!F622</f>
        <v>Y</v>
      </c>
      <c r="D241">
        <f>Master!M622</f>
        <v>0</v>
      </c>
      <c r="F241" s="37" t="str">
        <f t="shared" si="42"/>
        <v>R622</v>
      </c>
      <c r="G241" s="37" t="str">
        <f t="shared" si="43"/>
        <v xml:space="preserve">1 proton_external = 1 Proton </v>
      </c>
      <c r="H241" s="37" t="s">
        <v>1027</v>
      </c>
      <c r="I241" s="37" t="s">
        <v>1028</v>
      </c>
      <c r="J241" s="37" t="str">
        <f t="shared" si="44"/>
        <v>-inf</v>
      </c>
      <c r="K241" s="37" t="s">
        <v>195</v>
      </c>
      <c r="L241" s="37">
        <v>0</v>
      </c>
      <c r="M241" s="37">
        <v>0</v>
      </c>
      <c r="N241" s="37">
        <v>1</v>
      </c>
      <c r="O241" s="37">
        <v>1</v>
      </c>
      <c r="P241" s="37">
        <v>0</v>
      </c>
      <c r="Q241" s="37">
        <v>0.01</v>
      </c>
      <c r="AE241" t="str">
        <f t="shared" si="45"/>
        <v>0;1</v>
      </c>
      <c r="AF241" t="str">
        <f>CONCATENATE(AE241,$E$1,AE243)</f>
        <v>0;1;1;1</v>
      </c>
      <c r="AG241" t="str">
        <f>CONCATENATE(AF241,$E$1,AF245)</f>
        <v>0;1;1;1;1;1;1;1</v>
      </c>
      <c r="AH241" t="str">
        <f>CONCATENATE(AG241,$E$1,AG249)</f>
        <v>0;1;1;1;1;1;1;1;1;1;1;1;1;1;1;1</v>
      </c>
    </row>
    <row r="242" spans="1:34" x14ac:dyDescent="0.25">
      <c r="A242" t="str">
        <f>Master!A624</f>
        <v>R624</v>
      </c>
      <c r="B242" t="str">
        <f>Master!C624</f>
        <v xml:space="preserve">1 formate + 1 NAD = 1 CO2 + 1 NADH </v>
      </c>
      <c r="C242" t="str">
        <f>Master!F624</f>
        <v>N</v>
      </c>
      <c r="D242">
        <f>Master!M624</f>
        <v>1</v>
      </c>
      <c r="F242" s="37" t="str">
        <f t="shared" si="42"/>
        <v>R624</v>
      </c>
      <c r="G242" s="37" t="str">
        <f t="shared" si="43"/>
        <v xml:space="preserve">1 formate + 1 NAD = 1 CO2 + 1 NADH </v>
      </c>
      <c r="H242" s="37" t="s">
        <v>1027</v>
      </c>
      <c r="I242" s="37" t="s">
        <v>1028</v>
      </c>
      <c r="J242" s="37" t="str">
        <f t="shared" si="44"/>
        <v>0</v>
      </c>
      <c r="K242" s="37" t="s">
        <v>195</v>
      </c>
      <c r="L242" s="37">
        <v>0</v>
      </c>
      <c r="M242" s="37">
        <v>0</v>
      </c>
      <c r="N242" s="37">
        <v>1</v>
      </c>
      <c r="O242" s="37">
        <v>1</v>
      </c>
      <c r="P242" s="37">
        <v>0</v>
      </c>
      <c r="Q242" s="37">
        <v>0.01</v>
      </c>
      <c r="AE242" t="str">
        <f t="shared" si="45"/>
        <v>1;1</v>
      </c>
    </row>
    <row r="243" spans="1:34" x14ac:dyDescent="0.25">
      <c r="A243" t="str">
        <f>Master!A626</f>
        <v>R626</v>
      </c>
      <c r="B243" t="str">
        <f>Master!C626</f>
        <v xml:space="preserve">1 formaldehyde + 1 tetrahydrofolate_B9 = 1 5-10-Methylenetetrahydrofolate + 1 H2O </v>
      </c>
      <c r="C243" t="str">
        <f>Master!F626</f>
        <v>Y</v>
      </c>
      <c r="D243">
        <f>Master!M626</f>
        <v>1</v>
      </c>
      <c r="F243" s="37" t="str">
        <f t="shared" si="42"/>
        <v>R626</v>
      </c>
      <c r="G243" s="37" t="str">
        <f t="shared" si="43"/>
        <v xml:space="preserve">1 formaldehyde + 1 tetrahydrofolate_B9 = 1 5-10-Methylenetetrahydrofolate + 1 H2O </v>
      </c>
      <c r="H243" s="37" t="s">
        <v>1027</v>
      </c>
      <c r="I243" s="37" t="s">
        <v>1028</v>
      </c>
      <c r="J243" s="37" t="str">
        <f t="shared" si="44"/>
        <v>-inf</v>
      </c>
      <c r="K243" s="37" t="s">
        <v>195</v>
      </c>
      <c r="L243" s="37">
        <v>0</v>
      </c>
      <c r="M243" s="37">
        <v>0</v>
      </c>
      <c r="N243" s="37">
        <v>1</v>
      </c>
      <c r="O243" s="37">
        <v>1</v>
      </c>
      <c r="P243" s="37">
        <v>0</v>
      </c>
      <c r="Q243" s="37">
        <v>0.01</v>
      </c>
      <c r="AE243" t="str">
        <f t="shared" si="45"/>
        <v>1;1</v>
      </c>
    </row>
    <row r="244" spans="1:34" x14ac:dyDescent="0.25">
      <c r="A244" t="str">
        <f>Master!A628</f>
        <v>R628</v>
      </c>
      <c r="B244" t="str">
        <f>Master!C628</f>
        <v>H2CO3 = CO2 + H2O</v>
      </c>
      <c r="C244" t="str">
        <f>Master!F628</f>
        <v>Y</v>
      </c>
      <c r="D244">
        <f>Master!M628</f>
        <v>1</v>
      </c>
      <c r="F244" s="37" t="str">
        <f t="shared" si="42"/>
        <v>R628</v>
      </c>
      <c r="G244" s="37" t="str">
        <f t="shared" si="43"/>
        <v>H2CO3 = CO2 + H2O</v>
      </c>
      <c r="H244" s="37" t="s">
        <v>1027</v>
      </c>
      <c r="I244" s="37" t="s">
        <v>1028</v>
      </c>
      <c r="J244" s="37" t="str">
        <f t="shared" si="44"/>
        <v>-inf</v>
      </c>
      <c r="K244" s="37" t="s">
        <v>195</v>
      </c>
      <c r="L244" s="37">
        <v>0</v>
      </c>
      <c r="M244" s="37">
        <v>0</v>
      </c>
      <c r="N244" s="37">
        <v>1</v>
      </c>
      <c r="O244" s="37">
        <v>1</v>
      </c>
      <c r="P244" s="37">
        <v>0</v>
      </c>
      <c r="Q244" s="37">
        <v>0.01</v>
      </c>
      <c r="AE244" t="str">
        <f t="shared" si="45"/>
        <v>1;1</v>
      </c>
    </row>
    <row r="245" spans="1:34" x14ac:dyDescent="0.25">
      <c r="A245" t="str">
        <f>Master!A630</f>
        <v>R630</v>
      </c>
      <c r="B245" t="str">
        <f>Master!C630</f>
        <v xml:space="preserve">1 urea = 1 urea_ext </v>
      </c>
      <c r="C245" t="str">
        <f>Master!F630</f>
        <v>N</v>
      </c>
      <c r="D245">
        <f>Master!M630</f>
        <v>1</v>
      </c>
      <c r="F245" s="37" t="str">
        <f t="shared" si="42"/>
        <v>R630</v>
      </c>
      <c r="G245" s="37" t="str">
        <f t="shared" si="43"/>
        <v xml:space="preserve">1 urea = 1 urea_ext </v>
      </c>
      <c r="H245" s="37" t="s">
        <v>1027</v>
      </c>
      <c r="I245" s="37" t="s">
        <v>1028</v>
      </c>
      <c r="J245" s="37" t="str">
        <f t="shared" si="44"/>
        <v>0</v>
      </c>
      <c r="K245" s="37" t="s">
        <v>195</v>
      </c>
      <c r="L245" s="37">
        <v>0</v>
      </c>
      <c r="M245" s="37">
        <v>0</v>
      </c>
      <c r="N245" s="37">
        <v>1</v>
      </c>
      <c r="O245" s="37">
        <v>1</v>
      </c>
      <c r="P245" s="37">
        <v>0</v>
      </c>
      <c r="Q245" s="37">
        <v>0.01</v>
      </c>
      <c r="AE245" t="str">
        <f t="shared" si="45"/>
        <v>1;1</v>
      </c>
      <c r="AF245" t="str">
        <f t="shared" si="46"/>
        <v>1;1;1;1</v>
      </c>
    </row>
    <row r="246" spans="1:34" x14ac:dyDescent="0.25">
      <c r="A246" t="str">
        <f>Master!A632</f>
        <v>R632</v>
      </c>
      <c r="B246" t="str">
        <f>Master!C632</f>
        <v xml:space="preserve">1 HCO3 + 1 Proton = 1 CO2 + 1 H2O </v>
      </c>
      <c r="C246" t="str">
        <f>Master!F632</f>
        <v>Y</v>
      </c>
      <c r="D246">
        <f>Master!M632</f>
        <v>1</v>
      </c>
      <c r="F246" s="37" t="str">
        <f t="shared" si="42"/>
        <v>R632</v>
      </c>
      <c r="G246" s="37" t="str">
        <f t="shared" si="43"/>
        <v xml:space="preserve">1 HCO3 + 1 Proton = 1 CO2 + 1 H2O </v>
      </c>
      <c r="H246" s="37" t="s">
        <v>1027</v>
      </c>
      <c r="I246" s="37" t="s">
        <v>1028</v>
      </c>
      <c r="J246" s="37" t="str">
        <f t="shared" si="44"/>
        <v>-inf</v>
      </c>
      <c r="K246" s="37" t="s">
        <v>195</v>
      </c>
      <c r="L246" s="37">
        <v>0</v>
      </c>
      <c r="M246" s="37">
        <v>0</v>
      </c>
      <c r="N246" s="37">
        <v>1</v>
      </c>
      <c r="O246" s="37">
        <v>1</v>
      </c>
      <c r="P246" s="37">
        <v>0</v>
      </c>
      <c r="Q246" s="37">
        <v>0.01</v>
      </c>
      <c r="AE246" t="str">
        <f t="shared" si="45"/>
        <v>1;1</v>
      </c>
    </row>
    <row r="247" spans="1:34" x14ac:dyDescent="0.25">
      <c r="A247" t="str">
        <f>Master!A634</f>
        <v>R634</v>
      </c>
      <c r="B247" t="str">
        <f>Master!C634</f>
        <v>1 Acetate = 1 Acetate_ext</v>
      </c>
      <c r="C247" t="str">
        <f>Master!F634</f>
        <v>N</v>
      </c>
      <c r="D247">
        <f>Master!M634</f>
        <v>1</v>
      </c>
      <c r="F247" s="37" t="str">
        <f t="shared" si="42"/>
        <v>R634</v>
      </c>
      <c r="G247" s="37" t="str">
        <f t="shared" si="43"/>
        <v>1 Acetate = 1 Acetate_ext</v>
      </c>
      <c r="H247" s="37" t="s">
        <v>1027</v>
      </c>
      <c r="I247" s="37" t="s">
        <v>1028</v>
      </c>
      <c r="J247" s="37" t="str">
        <f t="shared" si="44"/>
        <v>0</v>
      </c>
      <c r="K247" s="37" t="s">
        <v>195</v>
      </c>
      <c r="L247" s="37">
        <v>0</v>
      </c>
      <c r="M247" s="37">
        <v>0</v>
      </c>
      <c r="N247" s="37">
        <v>1</v>
      </c>
      <c r="O247" s="37">
        <v>1</v>
      </c>
      <c r="P247" s="37">
        <v>0</v>
      </c>
      <c r="Q247" s="37">
        <v>0.01</v>
      </c>
      <c r="AE247" t="str">
        <f t="shared" si="45"/>
        <v>1;1</v>
      </c>
    </row>
    <row r="248" spans="1:34" x14ac:dyDescent="0.25">
      <c r="A248" t="str">
        <f>Master!A635</f>
        <v>R635</v>
      </c>
      <c r="B248" t="str">
        <f>Master!C635</f>
        <v>1 Lactate_ext = 1 Lactate</v>
      </c>
      <c r="C248" t="str">
        <f>Master!F635</f>
        <v>N</v>
      </c>
      <c r="D248">
        <f>Master!M635</f>
        <v>1</v>
      </c>
      <c r="F248" s="37" t="str">
        <f t="shared" si="42"/>
        <v>R635</v>
      </c>
      <c r="G248" s="37" t="str">
        <f t="shared" si="43"/>
        <v>1 Lactate_ext = 1 Lactate</v>
      </c>
      <c r="H248" s="37" t="s">
        <v>1027</v>
      </c>
      <c r="I248" s="37" t="s">
        <v>1028</v>
      </c>
      <c r="J248" s="37" t="str">
        <f t="shared" si="44"/>
        <v>0</v>
      </c>
      <c r="K248" s="37" t="s">
        <v>195</v>
      </c>
      <c r="L248" s="37">
        <v>0</v>
      </c>
      <c r="M248" s="37">
        <v>0</v>
      </c>
      <c r="N248" s="37">
        <v>1</v>
      </c>
      <c r="O248" s="37">
        <v>1</v>
      </c>
      <c r="P248" s="37">
        <v>0</v>
      </c>
      <c r="Q248" s="37">
        <v>0.01</v>
      </c>
      <c r="AE248" t="str">
        <f t="shared" si="45"/>
        <v>1;1</v>
      </c>
    </row>
    <row r="249" spans="1:34" x14ac:dyDescent="0.25">
      <c r="A249" t="str">
        <f>Master!A636</f>
        <v>R636</v>
      </c>
      <c r="B249" t="str">
        <f>Master!C636</f>
        <v>formaldehyde = formaldehyde_ext</v>
      </c>
      <c r="C249" t="str">
        <f>Master!F636</f>
        <v>N</v>
      </c>
      <c r="D249">
        <f>Master!M636</f>
        <v>1</v>
      </c>
      <c r="F249" s="37" t="str">
        <f t="shared" si="42"/>
        <v>R636</v>
      </c>
      <c r="G249" s="37" t="str">
        <f t="shared" si="43"/>
        <v>formaldehyde = formaldehyde_ext</v>
      </c>
      <c r="H249" s="37" t="s">
        <v>1027</v>
      </c>
      <c r="I249" s="37" t="s">
        <v>1028</v>
      </c>
      <c r="J249" s="37" t="str">
        <f t="shared" si="44"/>
        <v>0</v>
      </c>
      <c r="K249" s="37" t="s">
        <v>195</v>
      </c>
      <c r="L249" s="37">
        <v>0</v>
      </c>
      <c r="M249" s="37">
        <v>0</v>
      </c>
      <c r="N249" s="37">
        <v>1</v>
      </c>
      <c r="O249" s="37">
        <v>1</v>
      </c>
      <c r="P249" s="37">
        <v>0</v>
      </c>
      <c r="Q249" s="37">
        <v>0.01</v>
      </c>
      <c r="AE249" t="str">
        <f t="shared" si="45"/>
        <v>1;1</v>
      </c>
      <c r="AF249" t="str">
        <f t="shared" si="46"/>
        <v>1;1;1;1</v>
      </c>
      <c r="AG249" t="str">
        <f t="shared" ref="AG249" si="48">CONCATENATE(AF249,$E$1,AF253)</f>
        <v>1;1;1;1;1;1;1;1</v>
      </c>
    </row>
    <row r="250" spans="1:34" x14ac:dyDescent="0.25">
      <c r="A250" t="str">
        <f>Master!A637</f>
        <v>R637</v>
      </c>
      <c r="B250" t="str">
        <f>Master!C637</f>
        <v>formate = formate_ext</v>
      </c>
      <c r="C250" t="str">
        <f>Master!F637</f>
        <v>N</v>
      </c>
      <c r="D250">
        <f>Master!M637</f>
        <v>1</v>
      </c>
      <c r="F250" s="37" t="str">
        <f t="shared" si="42"/>
        <v>R637</v>
      </c>
      <c r="G250" s="37" t="str">
        <f t="shared" si="43"/>
        <v>formate = formate_ext</v>
      </c>
      <c r="H250" s="37" t="s">
        <v>1027</v>
      </c>
      <c r="I250" s="37" t="s">
        <v>1028</v>
      </c>
      <c r="J250" s="37" t="str">
        <f t="shared" si="44"/>
        <v>0</v>
      </c>
      <c r="K250" s="37" t="s">
        <v>195</v>
      </c>
      <c r="L250" s="37">
        <v>0</v>
      </c>
      <c r="M250" s="37">
        <v>0</v>
      </c>
      <c r="N250" s="37">
        <v>1</v>
      </c>
      <c r="O250" s="37">
        <v>1</v>
      </c>
      <c r="P250" s="37">
        <v>0</v>
      </c>
      <c r="Q250" s="37">
        <v>0.01</v>
      </c>
      <c r="AE250" t="str">
        <f t="shared" si="45"/>
        <v>1;1</v>
      </c>
    </row>
    <row r="251" spans="1:34" x14ac:dyDescent="0.25">
      <c r="A251" t="str">
        <f>Master!A639</f>
        <v>R639</v>
      </c>
      <c r="B251" t="str">
        <f>Master!C639</f>
        <v>1 H2S = 1 H2S_ext</v>
      </c>
      <c r="C251" t="str">
        <f>Master!F639</f>
        <v>Y</v>
      </c>
      <c r="D251">
        <f>Master!M639</f>
        <v>1</v>
      </c>
      <c r="F251" s="37" t="str">
        <f t="shared" si="42"/>
        <v>R639</v>
      </c>
      <c r="G251" s="37" t="str">
        <f t="shared" si="43"/>
        <v>1 H2S = 1 H2S_ext</v>
      </c>
      <c r="H251" s="37" t="s">
        <v>1027</v>
      </c>
      <c r="I251" s="37" t="s">
        <v>1028</v>
      </c>
      <c r="J251" s="37" t="str">
        <f t="shared" si="44"/>
        <v>-inf</v>
      </c>
      <c r="K251" s="37" t="s">
        <v>195</v>
      </c>
      <c r="L251" s="37">
        <v>0</v>
      </c>
      <c r="M251" s="37">
        <v>0</v>
      </c>
      <c r="N251" s="37">
        <v>1</v>
      </c>
      <c r="O251" s="37">
        <v>1</v>
      </c>
      <c r="P251" s="37">
        <v>0</v>
      </c>
      <c r="Q251" s="37">
        <v>0.01</v>
      </c>
      <c r="AE251" t="str">
        <f t="shared" si="45"/>
        <v>1;1</v>
      </c>
    </row>
    <row r="252" spans="1:34" x14ac:dyDescent="0.25">
      <c r="A252" t="str">
        <f>Master!A640</f>
        <v>R640</v>
      </c>
      <c r="B252" t="str">
        <f>Master!C640</f>
        <v xml:space="preserve">1 NH3_ext = 1 NH3 </v>
      </c>
      <c r="C252" t="str">
        <f>Master!F640</f>
        <v>Y</v>
      </c>
      <c r="D252">
        <f>Master!M640</f>
        <v>1</v>
      </c>
      <c r="F252" s="37" t="str">
        <f t="shared" si="42"/>
        <v>R640</v>
      </c>
      <c r="G252" s="37" t="str">
        <f t="shared" si="43"/>
        <v xml:space="preserve">1 NH3_ext = 1 NH3 </v>
      </c>
      <c r="H252" s="37" t="s">
        <v>1027</v>
      </c>
      <c r="I252" s="37" t="s">
        <v>1028</v>
      </c>
      <c r="J252" s="37" t="str">
        <f t="shared" si="44"/>
        <v>-inf</v>
      </c>
      <c r="K252" s="37" t="s">
        <v>195</v>
      </c>
      <c r="L252" s="37">
        <v>0</v>
      </c>
      <c r="M252" s="37">
        <v>0</v>
      </c>
      <c r="N252" s="37">
        <v>1</v>
      </c>
      <c r="O252" s="37">
        <v>1</v>
      </c>
      <c r="P252" s="37">
        <v>0</v>
      </c>
      <c r="Q252" s="37">
        <v>0.01</v>
      </c>
      <c r="AE252" t="str">
        <f t="shared" si="45"/>
        <v>1;1</v>
      </c>
    </row>
    <row r="253" spans="1:34" x14ac:dyDescent="0.25">
      <c r="A253" t="str">
        <f>Master!A641</f>
        <v>R641</v>
      </c>
      <c r="B253" t="str">
        <f>Master!C641</f>
        <v xml:space="preserve">1 O2_out = 1 O2 </v>
      </c>
      <c r="C253" t="str">
        <f>Master!F641</f>
        <v>N</v>
      </c>
      <c r="D253">
        <f>Master!M641</f>
        <v>1</v>
      </c>
      <c r="F253" s="37" t="str">
        <f t="shared" si="42"/>
        <v>R641</v>
      </c>
      <c r="G253" s="37" t="str">
        <f t="shared" si="43"/>
        <v xml:space="preserve">1 O2_out = 1 O2 </v>
      </c>
      <c r="H253" s="37" t="s">
        <v>1027</v>
      </c>
      <c r="I253" s="37" t="s">
        <v>1028</v>
      </c>
      <c r="J253" s="37" t="str">
        <f t="shared" si="44"/>
        <v>0</v>
      </c>
      <c r="K253" s="37" t="s">
        <v>195</v>
      </c>
      <c r="L253" s="37">
        <v>0</v>
      </c>
      <c r="M253" s="37">
        <v>0</v>
      </c>
      <c r="N253" s="37">
        <v>1</v>
      </c>
      <c r="O253" s="37">
        <v>1</v>
      </c>
      <c r="P253" s="37">
        <v>0</v>
      </c>
      <c r="Q253" s="37">
        <v>0.01</v>
      </c>
      <c r="AE253" t="str">
        <f t="shared" si="45"/>
        <v>1;1</v>
      </c>
      <c r="AF253" t="str">
        <f t="shared" si="46"/>
        <v>1;1;1;1</v>
      </c>
    </row>
    <row r="254" spans="1:34" x14ac:dyDescent="0.25">
      <c r="A254" t="str">
        <f>Master!A642</f>
        <v>R642</v>
      </c>
      <c r="B254" t="str">
        <f>Master!C642</f>
        <v xml:space="preserve">1 ATP + 1 H2O + 1 Phosphate_out = 1 ADP + 2 Phosphate + 1 Proton </v>
      </c>
      <c r="C254" t="str">
        <f>Master!F642</f>
        <v>N</v>
      </c>
      <c r="D254">
        <f>Master!M642</f>
        <v>1</v>
      </c>
      <c r="F254" s="37" t="str">
        <f t="shared" si="42"/>
        <v>R642</v>
      </c>
      <c r="G254" s="37" t="str">
        <f t="shared" si="43"/>
        <v xml:space="preserve">1 ATP + 1 H2O + 1 Phosphate_out = 1 ADP + 2 Phosphate + 1 Proton </v>
      </c>
      <c r="H254" s="37" t="s">
        <v>1027</v>
      </c>
      <c r="I254" s="37" t="s">
        <v>1028</v>
      </c>
      <c r="J254" s="37" t="str">
        <f t="shared" si="44"/>
        <v>0</v>
      </c>
      <c r="K254" s="37" t="s">
        <v>195</v>
      </c>
      <c r="L254" s="37">
        <v>0</v>
      </c>
      <c r="M254" s="37">
        <v>0</v>
      </c>
      <c r="N254" s="37">
        <v>1</v>
      </c>
      <c r="O254" s="37">
        <v>1</v>
      </c>
      <c r="P254" s="37">
        <v>0</v>
      </c>
      <c r="Q254" s="37">
        <v>0.01</v>
      </c>
      <c r="AE254" t="str">
        <f t="shared" si="45"/>
        <v>1;1</v>
      </c>
    </row>
    <row r="255" spans="1:34" x14ac:dyDescent="0.25">
      <c r="A255" t="str">
        <f>Master!A645</f>
        <v>R645</v>
      </c>
      <c r="B255" t="str">
        <f>Master!C645</f>
        <v xml:space="preserve">1 H2O + 1 PPi = 2 Phosphate + 1 Proton </v>
      </c>
      <c r="C255" t="str">
        <f>Master!F645</f>
        <v>N</v>
      </c>
      <c r="D255">
        <f>Master!M645</f>
        <v>1</v>
      </c>
      <c r="F255" s="37" t="str">
        <f t="shared" si="42"/>
        <v>R645</v>
      </c>
      <c r="G255" s="37" t="str">
        <f t="shared" si="43"/>
        <v xml:space="preserve">1 H2O + 1 PPi = 2 Phosphate + 1 Proton </v>
      </c>
      <c r="H255" s="37" t="s">
        <v>1027</v>
      </c>
      <c r="I255" s="37" t="s">
        <v>1028</v>
      </c>
      <c r="J255" s="37" t="str">
        <f t="shared" si="44"/>
        <v>0</v>
      </c>
      <c r="K255" s="37" t="s">
        <v>195</v>
      </c>
      <c r="L255" s="37">
        <v>0</v>
      </c>
      <c r="M255" s="37">
        <v>0</v>
      </c>
      <c r="N255" s="37">
        <v>1</v>
      </c>
      <c r="O255" s="37">
        <v>1</v>
      </c>
      <c r="P255" s="37">
        <v>0</v>
      </c>
      <c r="Q255" s="37">
        <v>0.01</v>
      </c>
      <c r="AE255" t="str">
        <f t="shared" si="45"/>
        <v>1;1</v>
      </c>
    </row>
    <row r="256" spans="1:34" x14ac:dyDescent="0.25">
      <c r="A256" t="str">
        <f>Master!A647</f>
        <v>R647</v>
      </c>
      <c r="B256" t="str">
        <f>Master!C647</f>
        <v xml:space="preserve">1 Phosphate = 1 Phosphate_out </v>
      </c>
      <c r="C256" t="str">
        <f>Master!F647</f>
        <v>N</v>
      </c>
      <c r="D256">
        <f>Master!M647</f>
        <v>1</v>
      </c>
      <c r="F256" s="37" t="str">
        <f t="shared" si="42"/>
        <v>R647</v>
      </c>
      <c r="G256" s="37" t="str">
        <f t="shared" si="43"/>
        <v xml:space="preserve">1 Phosphate = 1 Phosphate_out </v>
      </c>
      <c r="H256" s="37" t="s">
        <v>1027</v>
      </c>
      <c r="I256" s="37" t="s">
        <v>1028</v>
      </c>
      <c r="J256" s="37" t="str">
        <f t="shared" si="44"/>
        <v>0</v>
      </c>
      <c r="K256" s="37" t="s">
        <v>195</v>
      </c>
      <c r="L256" s="37">
        <v>0</v>
      </c>
      <c r="M256" s="37">
        <v>0</v>
      </c>
      <c r="N256" s="37">
        <v>1</v>
      </c>
      <c r="O256" s="37">
        <v>1</v>
      </c>
      <c r="P256" s="37">
        <v>0</v>
      </c>
      <c r="Q256" s="37">
        <v>0.01</v>
      </c>
      <c r="AE256" t="str">
        <f t="shared" si="45"/>
        <v>1;1</v>
      </c>
    </row>
    <row r="257" spans="1:37" x14ac:dyDescent="0.25">
      <c r="A257" t="str">
        <f>Master!A649</f>
        <v>R649</v>
      </c>
      <c r="B257" t="str">
        <f>Master!C649</f>
        <v xml:space="preserve">1 H2O2_ext = 1 H2O2 </v>
      </c>
      <c r="C257" t="str">
        <f>Master!F649</f>
        <v>Y</v>
      </c>
      <c r="D257">
        <f>Master!M649</f>
        <v>1</v>
      </c>
      <c r="F257" s="37" t="str">
        <f t="shared" ref="F257:F291" si="49">A257</f>
        <v>R649</v>
      </c>
      <c r="G257" s="37" t="str">
        <f t="shared" ref="G257:G291" si="50">B257</f>
        <v xml:space="preserve">1 H2O2_ext = 1 H2O2 </v>
      </c>
      <c r="H257" s="37" t="s">
        <v>1027</v>
      </c>
      <c r="I257" s="37" t="s">
        <v>1028</v>
      </c>
      <c r="J257" s="37" t="str">
        <f t="shared" ref="J257:J291" si="51">IF(EXACT(C257,"Y"),"-inf","0")</f>
        <v>-inf</v>
      </c>
      <c r="K257" s="37" t="s">
        <v>195</v>
      </c>
      <c r="L257" s="37">
        <v>0</v>
      </c>
      <c r="M257" s="37">
        <v>0</v>
      </c>
      <c r="N257" s="37">
        <v>1</v>
      </c>
      <c r="O257" s="37">
        <v>1</v>
      </c>
      <c r="P257" s="37">
        <v>0</v>
      </c>
      <c r="Q257" s="37">
        <v>0.01</v>
      </c>
      <c r="AE257" t="str">
        <f t="shared" si="45"/>
        <v>1;1</v>
      </c>
      <c r="AF257" t="str">
        <f>CONCATENATE(AE257,$E$1,AE259)</f>
        <v>1;1;1;1</v>
      </c>
      <c r="AG257" t="str">
        <f>CONCATENATE(AF257,$E$1,AF261)</f>
        <v>1;1;1;1;1;1;1;1</v>
      </c>
      <c r="AH257" t="str">
        <f>CONCATENATE(AG257,$E$1,AG265)</f>
        <v>1;1;1;1;1;1;1;1;1;1;1;1;1;1;1;1</v>
      </c>
      <c r="AI257" t="str">
        <f>CONCATENATE(AH257,$E$1,AH273)</f>
        <v>1;1;1;1;1;1;1;1;1;1;1;1;1;1;1;1;1;1;1;1;1;1;1;1;1;1;1;1;1;1;1;1;1;1;0</v>
      </c>
      <c r="AJ257" t="str">
        <f>CONCATENATE(AI257)</f>
        <v>1;1;1;1;1;1;1;1;1;1;1;1;1;1;1;1;1;1;1;1;1;1;1;1;1;1;1;1;1;1;1;1;1;1;0</v>
      </c>
      <c r="AK257" t="str">
        <f>CONCATENATE(AJ257)</f>
        <v>1;1;1;1;1;1;1;1;1;1;1;1;1;1;1;1;1;1;1;1;1;1;1;1;1;1;1;1;1;1;1;1;1;1;0</v>
      </c>
    </row>
    <row r="258" spans="1:37" x14ac:dyDescent="0.25">
      <c r="A258" t="str">
        <f>Master!A651</f>
        <v>R651</v>
      </c>
      <c r="B258" t="str">
        <f>Master!C651</f>
        <v xml:space="preserve">1 CO2 = 1 CO2_out </v>
      </c>
      <c r="C258" t="str">
        <f>Master!F651</f>
        <v>Y</v>
      </c>
      <c r="D258">
        <f>Master!M651</f>
        <v>1</v>
      </c>
      <c r="F258" s="37" t="str">
        <f t="shared" si="49"/>
        <v>R651</v>
      </c>
      <c r="G258" s="37" t="str">
        <f t="shared" si="50"/>
        <v xml:space="preserve">1 CO2 = 1 CO2_out </v>
      </c>
      <c r="H258" s="37" t="s">
        <v>1027</v>
      </c>
      <c r="I258" s="37" t="s">
        <v>1028</v>
      </c>
      <c r="J258" s="37" t="str">
        <f t="shared" si="51"/>
        <v>-inf</v>
      </c>
      <c r="K258" s="37" t="s">
        <v>195</v>
      </c>
      <c r="L258" s="37">
        <v>0</v>
      </c>
      <c r="M258" s="37">
        <v>0</v>
      </c>
      <c r="N258" s="37">
        <v>1</v>
      </c>
      <c r="O258" s="37">
        <v>1</v>
      </c>
      <c r="P258" s="37">
        <v>0</v>
      </c>
      <c r="Q258" s="37">
        <v>0.01</v>
      </c>
      <c r="AE258" t="str">
        <f t="shared" ref="AE258:AE289" si="52">CONCATENATE(D258,$E$1,D259)</f>
        <v>1;1</v>
      </c>
    </row>
    <row r="259" spans="1:37" x14ac:dyDescent="0.25">
      <c r="A259" t="str">
        <f>Master!A653</f>
        <v>R653</v>
      </c>
      <c r="B259" t="str">
        <f>Master!C653</f>
        <v xml:space="preserve">1 ATP + 1 CELB_out + 1 H2O = 1 ADP + 1 CELB + 1 Phosphate + 1 Proton </v>
      </c>
      <c r="C259" t="str">
        <f>Master!F653</f>
        <v>N</v>
      </c>
      <c r="D259">
        <f>Master!M653</f>
        <v>1</v>
      </c>
      <c r="F259" s="37" t="str">
        <f t="shared" si="49"/>
        <v>R653</v>
      </c>
      <c r="G259" s="37" t="str">
        <f t="shared" si="50"/>
        <v xml:space="preserve">1 ATP + 1 CELB_out + 1 H2O = 1 ADP + 1 CELB + 1 Phosphate + 1 Proton </v>
      </c>
      <c r="H259" s="37" t="s">
        <v>1027</v>
      </c>
      <c r="I259" s="37" t="s">
        <v>1028</v>
      </c>
      <c r="J259" s="37" t="str">
        <f t="shared" si="51"/>
        <v>0</v>
      </c>
      <c r="K259" s="37" t="s">
        <v>195</v>
      </c>
      <c r="L259" s="37">
        <v>0</v>
      </c>
      <c r="M259" s="37">
        <v>0</v>
      </c>
      <c r="N259" s="37">
        <v>1</v>
      </c>
      <c r="O259" s="37">
        <v>1</v>
      </c>
      <c r="P259" s="37">
        <v>0</v>
      </c>
      <c r="Q259" s="37">
        <v>0.01</v>
      </c>
      <c r="AE259" t="str">
        <f t="shared" si="52"/>
        <v>1;1</v>
      </c>
    </row>
    <row r="260" spans="1:37" x14ac:dyDescent="0.25">
      <c r="A260" t="str">
        <f>Master!A655</f>
        <v>R655</v>
      </c>
      <c r="B260" t="str">
        <f>Master!C655</f>
        <v>L-Alanine_ext + .33 Maintenance_energy = L-Alanine</v>
      </c>
      <c r="C260" t="str">
        <f>Master!F655</f>
        <v>N</v>
      </c>
      <c r="D260">
        <f>Master!M655</f>
        <v>1</v>
      </c>
      <c r="F260" s="37" t="str">
        <f t="shared" si="49"/>
        <v>R655</v>
      </c>
      <c r="G260" s="37" t="str">
        <f t="shared" si="50"/>
        <v>L-Alanine_ext + .33 Maintenance_energy = L-Alanine</v>
      </c>
      <c r="H260" s="37" t="s">
        <v>1027</v>
      </c>
      <c r="I260" s="37" t="s">
        <v>1028</v>
      </c>
      <c r="J260" s="37" t="str">
        <f t="shared" si="51"/>
        <v>0</v>
      </c>
      <c r="K260" s="37" t="s">
        <v>195</v>
      </c>
      <c r="L260" s="37">
        <v>0</v>
      </c>
      <c r="M260" s="37">
        <v>0</v>
      </c>
      <c r="N260" s="37">
        <v>1</v>
      </c>
      <c r="O260" s="37">
        <v>1</v>
      </c>
      <c r="P260" s="37">
        <v>0</v>
      </c>
      <c r="Q260" s="37">
        <v>0.01</v>
      </c>
      <c r="AE260" t="str">
        <f t="shared" si="52"/>
        <v>1;1</v>
      </c>
    </row>
    <row r="261" spans="1:37" x14ac:dyDescent="0.25">
      <c r="A261" t="str">
        <f>Master!A656</f>
        <v>R656</v>
      </c>
      <c r="B261" t="str">
        <f>Master!C656</f>
        <v>L-Cysteine_ext + .33 Maintenance_energy = L-Cysteine</v>
      </c>
      <c r="C261" t="str">
        <f>Master!F656</f>
        <v>N</v>
      </c>
      <c r="D261">
        <f>Master!M656</f>
        <v>1</v>
      </c>
      <c r="F261" s="37" t="str">
        <f t="shared" si="49"/>
        <v>R656</v>
      </c>
      <c r="G261" s="37" t="str">
        <f t="shared" si="50"/>
        <v>L-Cysteine_ext + .33 Maintenance_energy = L-Cysteine</v>
      </c>
      <c r="H261" s="37" t="s">
        <v>1027</v>
      </c>
      <c r="I261" s="37" t="s">
        <v>1028</v>
      </c>
      <c r="J261" s="37" t="str">
        <f t="shared" si="51"/>
        <v>0</v>
      </c>
      <c r="K261" s="37" t="s">
        <v>195</v>
      </c>
      <c r="L261" s="37">
        <v>0</v>
      </c>
      <c r="M261" s="37">
        <v>0</v>
      </c>
      <c r="N261" s="37">
        <v>1</v>
      </c>
      <c r="O261" s="37">
        <v>1</v>
      </c>
      <c r="P261" s="37">
        <v>0</v>
      </c>
      <c r="Q261" s="37">
        <v>0.01</v>
      </c>
      <c r="AE261" t="str">
        <f t="shared" si="52"/>
        <v>1;1</v>
      </c>
      <c r="AF261" t="str">
        <f t="shared" ref="AF261:AF281" si="53">CONCATENATE(AE261,$E$1,AE263)</f>
        <v>1;1;1;1</v>
      </c>
    </row>
    <row r="262" spans="1:37" x14ac:dyDescent="0.25">
      <c r="A262" t="str">
        <f>Master!A657</f>
        <v>R657</v>
      </c>
      <c r="B262" t="str">
        <f>Master!C657</f>
        <v>L-Aspartate_ext + .33 Maintenance_energy = L-Aspartate</v>
      </c>
      <c r="C262" t="str">
        <f>Master!F657</f>
        <v>N</v>
      </c>
      <c r="D262">
        <f>Master!M657</f>
        <v>1</v>
      </c>
      <c r="F262" s="37" t="str">
        <f t="shared" si="49"/>
        <v>R657</v>
      </c>
      <c r="G262" s="37" t="str">
        <f t="shared" si="50"/>
        <v>L-Aspartate_ext + .33 Maintenance_energy = L-Aspartate</v>
      </c>
      <c r="H262" s="37" t="s">
        <v>1027</v>
      </c>
      <c r="I262" s="37" t="s">
        <v>1028</v>
      </c>
      <c r="J262" s="37" t="str">
        <f t="shared" si="51"/>
        <v>0</v>
      </c>
      <c r="K262" s="37" t="s">
        <v>195</v>
      </c>
      <c r="L262" s="37">
        <v>0</v>
      </c>
      <c r="M262" s="37">
        <v>0</v>
      </c>
      <c r="N262" s="37">
        <v>1</v>
      </c>
      <c r="O262" s="37">
        <v>1</v>
      </c>
      <c r="P262" s="37">
        <v>0</v>
      </c>
      <c r="Q262" s="37">
        <v>0.01</v>
      </c>
      <c r="AE262" t="str">
        <f t="shared" si="52"/>
        <v>1;1</v>
      </c>
    </row>
    <row r="263" spans="1:37" x14ac:dyDescent="0.25">
      <c r="A263" t="str">
        <f>Master!A658</f>
        <v>R658</v>
      </c>
      <c r="B263" t="str">
        <f>Master!C658</f>
        <v>L-Glutamate_ext + .33 Maintenance_energy = L-Glutamate</v>
      </c>
      <c r="C263" t="str">
        <f>Master!F658</f>
        <v>N</v>
      </c>
      <c r="D263">
        <f>Master!M658</f>
        <v>1</v>
      </c>
      <c r="F263" s="37" t="str">
        <f t="shared" si="49"/>
        <v>R658</v>
      </c>
      <c r="G263" s="37" t="str">
        <f t="shared" si="50"/>
        <v>L-Glutamate_ext + .33 Maintenance_energy = L-Glutamate</v>
      </c>
      <c r="H263" s="37" t="s">
        <v>1027</v>
      </c>
      <c r="I263" s="37" t="s">
        <v>1028</v>
      </c>
      <c r="J263" s="37" t="str">
        <f t="shared" si="51"/>
        <v>0</v>
      </c>
      <c r="K263" s="37" t="s">
        <v>195</v>
      </c>
      <c r="L263" s="37">
        <v>0</v>
      </c>
      <c r="M263" s="37">
        <v>0</v>
      </c>
      <c r="N263" s="37">
        <v>1</v>
      </c>
      <c r="O263" s="37">
        <v>1</v>
      </c>
      <c r="P263" s="37">
        <v>0</v>
      </c>
      <c r="Q263" s="37">
        <v>0.01</v>
      </c>
      <c r="AE263" t="str">
        <f t="shared" si="52"/>
        <v>1;1</v>
      </c>
    </row>
    <row r="264" spans="1:37" x14ac:dyDescent="0.25">
      <c r="A264" t="str">
        <f>Master!A659</f>
        <v>R659</v>
      </c>
      <c r="B264" t="str">
        <f>Master!C659</f>
        <v>L-Phenylalanine_ext + .33 Maintenance_energy = L-Phenylalanine</v>
      </c>
      <c r="C264" t="str">
        <f>Master!F659</f>
        <v>N</v>
      </c>
      <c r="D264">
        <f>Master!M659</f>
        <v>1</v>
      </c>
      <c r="F264" s="37" t="str">
        <f t="shared" si="49"/>
        <v>R659</v>
      </c>
      <c r="G264" s="37" t="str">
        <f t="shared" si="50"/>
        <v>L-Phenylalanine_ext + .33 Maintenance_energy = L-Phenylalanine</v>
      </c>
      <c r="H264" s="37" t="s">
        <v>1027</v>
      </c>
      <c r="I264" s="37" t="s">
        <v>1028</v>
      </c>
      <c r="J264" s="37" t="str">
        <f t="shared" si="51"/>
        <v>0</v>
      </c>
      <c r="K264" s="37" t="s">
        <v>195</v>
      </c>
      <c r="L264" s="37">
        <v>0</v>
      </c>
      <c r="M264" s="37">
        <v>0</v>
      </c>
      <c r="N264" s="37">
        <v>1</v>
      </c>
      <c r="O264" s="37">
        <v>1</v>
      </c>
      <c r="P264" s="37">
        <v>0</v>
      </c>
      <c r="Q264" s="37">
        <v>0.01</v>
      </c>
      <c r="AE264" t="str">
        <f t="shared" si="52"/>
        <v>1;1</v>
      </c>
    </row>
    <row r="265" spans="1:37" x14ac:dyDescent="0.25">
      <c r="A265" t="str">
        <f>Master!A660</f>
        <v>R660</v>
      </c>
      <c r="B265" t="str">
        <f>Master!C660</f>
        <v>Glycine_ext + .33 Maintenance_energy = Glycine</v>
      </c>
      <c r="C265" t="str">
        <f>Master!F660</f>
        <v>N</v>
      </c>
      <c r="D265">
        <f>Master!M660</f>
        <v>1</v>
      </c>
      <c r="F265" s="37" t="str">
        <f t="shared" si="49"/>
        <v>R660</v>
      </c>
      <c r="G265" s="37" t="str">
        <f t="shared" si="50"/>
        <v>Glycine_ext + .33 Maintenance_energy = Glycine</v>
      </c>
      <c r="H265" s="37" t="s">
        <v>1027</v>
      </c>
      <c r="I265" s="37" t="s">
        <v>1028</v>
      </c>
      <c r="J265" s="37" t="str">
        <f t="shared" si="51"/>
        <v>0</v>
      </c>
      <c r="K265" s="37" t="s">
        <v>195</v>
      </c>
      <c r="L265" s="37">
        <v>0</v>
      </c>
      <c r="M265" s="37">
        <v>0</v>
      </c>
      <c r="N265" s="37">
        <v>1</v>
      </c>
      <c r="O265" s="37">
        <v>1</v>
      </c>
      <c r="P265" s="37">
        <v>0</v>
      </c>
      <c r="Q265" s="37">
        <v>0.01</v>
      </c>
      <c r="AE265" t="str">
        <f t="shared" si="52"/>
        <v>1;1</v>
      </c>
      <c r="AF265" t="str">
        <f t="shared" si="53"/>
        <v>1;1;1;1</v>
      </c>
      <c r="AG265" t="str">
        <f t="shared" ref="AG265" si="54">CONCATENATE(AF265,$E$1,AF269)</f>
        <v>1;1;1;1;1;1;1;1</v>
      </c>
    </row>
    <row r="266" spans="1:37" x14ac:dyDescent="0.25">
      <c r="A266" t="str">
        <f>Master!A661</f>
        <v>R661</v>
      </c>
      <c r="B266" t="str">
        <f>Master!C661</f>
        <v>L-Histidine_ext + .33 Maintenance_energy = L-Histidine</v>
      </c>
      <c r="C266" t="str">
        <f>Master!F661</f>
        <v>N</v>
      </c>
      <c r="D266">
        <f>Master!M661</f>
        <v>1</v>
      </c>
      <c r="F266" s="37" t="str">
        <f t="shared" si="49"/>
        <v>R661</v>
      </c>
      <c r="G266" s="37" t="str">
        <f t="shared" si="50"/>
        <v>L-Histidine_ext + .33 Maintenance_energy = L-Histidine</v>
      </c>
      <c r="H266" s="37" t="s">
        <v>1027</v>
      </c>
      <c r="I266" s="37" t="s">
        <v>1028</v>
      </c>
      <c r="J266" s="37" t="str">
        <f t="shared" si="51"/>
        <v>0</v>
      </c>
      <c r="K266" s="37" t="s">
        <v>195</v>
      </c>
      <c r="L266" s="37">
        <v>0</v>
      </c>
      <c r="M266" s="37">
        <v>0</v>
      </c>
      <c r="N266" s="37">
        <v>1</v>
      </c>
      <c r="O266" s="37">
        <v>1</v>
      </c>
      <c r="P266" s="37">
        <v>0</v>
      </c>
      <c r="Q266" s="37">
        <v>0.01</v>
      </c>
      <c r="AE266" t="str">
        <f t="shared" si="52"/>
        <v>1;1</v>
      </c>
    </row>
    <row r="267" spans="1:37" x14ac:dyDescent="0.25">
      <c r="A267" t="str">
        <f>Master!A662</f>
        <v>R662</v>
      </c>
      <c r="B267" t="str">
        <f>Master!C662</f>
        <v>L-Isoleucine_ext + .33 Maintenance_energy = L-Isoleucine</v>
      </c>
      <c r="C267" t="str">
        <f>Master!F662</f>
        <v>N</v>
      </c>
      <c r="D267">
        <f>Master!M662</f>
        <v>1</v>
      </c>
      <c r="F267" s="37" t="str">
        <f t="shared" si="49"/>
        <v>R662</v>
      </c>
      <c r="G267" s="37" t="str">
        <f t="shared" si="50"/>
        <v>L-Isoleucine_ext + .33 Maintenance_energy = L-Isoleucine</v>
      </c>
      <c r="H267" s="37" t="s">
        <v>1027</v>
      </c>
      <c r="I267" s="37" t="s">
        <v>1028</v>
      </c>
      <c r="J267" s="37" t="str">
        <f t="shared" si="51"/>
        <v>0</v>
      </c>
      <c r="K267" s="37" t="s">
        <v>195</v>
      </c>
      <c r="L267" s="37">
        <v>0</v>
      </c>
      <c r="M267" s="37">
        <v>0</v>
      </c>
      <c r="N267" s="37">
        <v>1</v>
      </c>
      <c r="O267" s="37">
        <v>1</v>
      </c>
      <c r="P267" s="37">
        <v>0</v>
      </c>
      <c r="Q267" s="37">
        <v>0.01</v>
      </c>
      <c r="AE267" t="str">
        <f t="shared" si="52"/>
        <v>1;1</v>
      </c>
    </row>
    <row r="268" spans="1:37" x14ac:dyDescent="0.25">
      <c r="A268" t="str">
        <f>Master!A663</f>
        <v>R663</v>
      </c>
      <c r="B268" t="str">
        <f>Master!C663</f>
        <v>L-Lysine_ext + .33 Maintenance_energy = L-Lysine</v>
      </c>
      <c r="C268" t="str">
        <f>Master!F663</f>
        <v>N</v>
      </c>
      <c r="D268">
        <f>Master!M663</f>
        <v>1</v>
      </c>
      <c r="F268" s="37" t="str">
        <f t="shared" si="49"/>
        <v>R663</v>
      </c>
      <c r="G268" s="37" t="str">
        <f t="shared" si="50"/>
        <v>L-Lysine_ext + .33 Maintenance_energy = L-Lysine</v>
      </c>
      <c r="H268" s="37" t="s">
        <v>1027</v>
      </c>
      <c r="I268" s="37" t="s">
        <v>1028</v>
      </c>
      <c r="J268" s="37" t="str">
        <f t="shared" si="51"/>
        <v>0</v>
      </c>
      <c r="K268" s="37" t="s">
        <v>195</v>
      </c>
      <c r="L268" s="37">
        <v>0</v>
      </c>
      <c r="M268" s="37">
        <v>0</v>
      </c>
      <c r="N268" s="37">
        <v>1</v>
      </c>
      <c r="O268" s="37">
        <v>1</v>
      </c>
      <c r="P268" s="37">
        <v>0</v>
      </c>
      <c r="Q268" s="37">
        <v>0.01</v>
      </c>
      <c r="AE268" t="str">
        <f t="shared" si="52"/>
        <v>1;1</v>
      </c>
    </row>
    <row r="269" spans="1:37" x14ac:dyDescent="0.25">
      <c r="A269" t="str">
        <f>Master!A664</f>
        <v>R664</v>
      </c>
      <c r="B269" t="str">
        <f>Master!C664</f>
        <v>L-Leucine_ext + .33 Maintenance_energy = L-Leucine</v>
      </c>
      <c r="C269" t="str">
        <f>Master!F664</f>
        <v>N</v>
      </c>
      <c r="D269">
        <f>Master!M664</f>
        <v>1</v>
      </c>
      <c r="F269" s="37" t="str">
        <f t="shared" si="49"/>
        <v>R664</v>
      </c>
      <c r="G269" s="37" t="str">
        <f t="shared" si="50"/>
        <v>L-Leucine_ext + .33 Maintenance_energy = L-Leucine</v>
      </c>
      <c r="H269" s="37" t="s">
        <v>1027</v>
      </c>
      <c r="I269" s="37" t="s">
        <v>1028</v>
      </c>
      <c r="J269" s="37" t="str">
        <f t="shared" si="51"/>
        <v>0</v>
      </c>
      <c r="K269" s="37" t="s">
        <v>195</v>
      </c>
      <c r="L269" s="37">
        <v>0</v>
      </c>
      <c r="M269" s="37">
        <v>0</v>
      </c>
      <c r="N269" s="37">
        <v>1</v>
      </c>
      <c r="O269" s="37">
        <v>1</v>
      </c>
      <c r="P269" s="37">
        <v>0</v>
      </c>
      <c r="Q269" s="37">
        <v>0.01</v>
      </c>
      <c r="AE269" t="str">
        <f t="shared" si="52"/>
        <v>1;1</v>
      </c>
      <c r="AF269" t="str">
        <f t="shared" si="53"/>
        <v>1;1;1;1</v>
      </c>
    </row>
    <row r="270" spans="1:37" x14ac:dyDescent="0.25">
      <c r="A270" t="str">
        <f>Master!A665</f>
        <v>R665</v>
      </c>
      <c r="B270" t="str">
        <f>Master!C665</f>
        <v>L-Methionine_ext + .33 Maintenance_energy = L-Methionine</v>
      </c>
      <c r="C270" t="str">
        <f>Master!F665</f>
        <v>N</v>
      </c>
      <c r="D270">
        <f>Master!M665</f>
        <v>1</v>
      </c>
      <c r="F270" s="37" t="str">
        <f t="shared" si="49"/>
        <v>R665</v>
      </c>
      <c r="G270" s="37" t="str">
        <f t="shared" si="50"/>
        <v>L-Methionine_ext + .33 Maintenance_energy = L-Methionine</v>
      </c>
      <c r="H270" s="37" t="s">
        <v>1027</v>
      </c>
      <c r="I270" s="37" t="s">
        <v>1028</v>
      </c>
      <c r="J270" s="37" t="str">
        <f t="shared" si="51"/>
        <v>0</v>
      </c>
      <c r="K270" s="37" t="s">
        <v>195</v>
      </c>
      <c r="L270" s="37">
        <v>0</v>
      </c>
      <c r="M270" s="37">
        <v>0</v>
      </c>
      <c r="N270" s="37">
        <v>1</v>
      </c>
      <c r="O270" s="37">
        <v>1</v>
      </c>
      <c r="P270" s="37">
        <v>0</v>
      </c>
      <c r="Q270" s="37">
        <v>0.01</v>
      </c>
      <c r="AE270" t="str">
        <f t="shared" si="52"/>
        <v>1;1</v>
      </c>
    </row>
    <row r="271" spans="1:37" x14ac:dyDescent="0.25">
      <c r="A271" t="str">
        <f>Master!A666</f>
        <v>R666</v>
      </c>
      <c r="B271" t="str">
        <f>Master!C666</f>
        <v>L-Asparagine_ext + .33 Maintenance_energy = L-Asparagine</v>
      </c>
      <c r="C271" t="str">
        <f>Master!F666</f>
        <v>N</v>
      </c>
      <c r="D271">
        <f>Master!M666</f>
        <v>1</v>
      </c>
      <c r="F271" s="37" t="str">
        <f t="shared" si="49"/>
        <v>R666</v>
      </c>
      <c r="G271" s="37" t="str">
        <f t="shared" si="50"/>
        <v>L-Asparagine_ext + .33 Maintenance_energy = L-Asparagine</v>
      </c>
      <c r="H271" s="37" t="s">
        <v>1027</v>
      </c>
      <c r="I271" s="37" t="s">
        <v>1028</v>
      </c>
      <c r="J271" s="37" t="str">
        <f t="shared" si="51"/>
        <v>0</v>
      </c>
      <c r="K271" s="37" t="s">
        <v>195</v>
      </c>
      <c r="L271" s="37">
        <v>0</v>
      </c>
      <c r="M271" s="37">
        <v>0</v>
      </c>
      <c r="N271" s="37">
        <v>1</v>
      </c>
      <c r="O271" s="37">
        <v>1</v>
      </c>
      <c r="P271" s="37">
        <v>0</v>
      </c>
      <c r="Q271" s="37">
        <v>0.01</v>
      </c>
      <c r="AE271" t="str">
        <f t="shared" si="52"/>
        <v>1;1</v>
      </c>
    </row>
    <row r="272" spans="1:37" x14ac:dyDescent="0.25">
      <c r="A272" t="str">
        <f>Master!A667</f>
        <v>R667</v>
      </c>
      <c r="B272" t="str">
        <f>Master!C667</f>
        <v>L-Proline_ext + .33 Maintenance_energy = L-Proline</v>
      </c>
      <c r="C272" t="str">
        <f>Master!F667</f>
        <v>N</v>
      </c>
      <c r="D272">
        <f>Master!M667</f>
        <v>1</v>
      </c>
      <c r="F272" s="37" t="str">
        <f t="shared" si="49"/>
        <v>R667</v>
      </c>
      <c r="G272" s="37" t="str">
        <f t="shared" si="50"/>
        <v>L-Proline_ext + .33 Maintenance_energy = L-Proline</v>
      </c>
      <c r="H272" s="37" t="s">
        <v>1027</v>
      </c>
      <c r="I272" s="37" t="s">
        <v>1028</v>
      </c>
      <c r="J272" s="37" t="str">
        <f t="shared" si="51"/>
        <v>0</v>
      </c>
      <c r="K272" s="37" t="s">
        <v>195</v>
      </c>
      <c r="L272" s="37">
        <v>0</v>
      </c>
      <c r="M272" s="37">
        <v>0</v>
      </c>
      <c r="N272" s="37">
        <v>1</v>
      </c>
      <c r="O272" s="37">
        <v>1</v>
      </c>
      <c r="P272" s="37">
        <v>0</v>
      </c>
      <c r="Q272" s="37">
        <v>0.01</v>
      </c>
      <c r="AE272" t="str">
        <f t="shared" si="52"/>
        <v>1;1</v>
      </c>
    </row>
    <row r="273" spans="1:34" x14ac:dyDescent="0.25">
      <c r="A273" t="str">
        <f>Master!A668</f>
        <v>R668</v>
      </c>
      <c r="B273" t="str">
        <f>Master!C668</f>
        <v>L-Glutamine_ext + .33 Maintenance_energy = L-Glutamine</v>
      </c>
      <c r="C273" t="str">
        <f>Master!F668</f>
        <v>N</v>
      </c>
      <c r="D273">
        <f>Master!M668</f>
        <v>1</v>
      </c>
      <c r="F273" s="37" t="str">
        <f t="shared" si="49"/>
        <v>R668</v>
      </c>
      <c r="G273" s="37" t="str">
        <f t="shared" si="50"/>
        <v>L-Glutamine_ext + .33 Maintenance_energy = L-Glutamine</v>
      </c>
      <c r="H273" s="37" t="s">
        <v>1027</v>
      </c>
      <c r="I273" s="37" t="s">
        <v>1028</v>
      </c>
      <c r="J273" s="37" t="str">
        <f t="shared" si="51"/>
        <v>0</v>
      </c>
      <c r="K273" s="37" t="s">
        <v>195</v>
      </c>
      <c r="L273" s="37">
        <v>0</v>
      </c>
      <c r="M273" s="37">
        <v>0</v>
      </c>
      <c r="N273" s="37">
        <v>1</v>
      </c>
      <c r="O273" s="37">
        <v>1</v>
      </c>
      <c r="P273" s="37">
        <v>0</v>
      </c>
      <c r="Q273" s="37">
        <v>0.01</v>
      </c>
      <c r="AE273" t="str">
        <f t="shared" si="52"/>
        <v>1;1</v>
      </c>
      <c r="AF273" t="str">
        <f>CONCATENATE(AE273,$E$1,AE275)</f>
        <v>1;1;1;1</v>
      </c>
      <c r="AG273" t="str">
        <f>CONCATENATE(AF273,$E$1,AF277)</f>
        <v>1;1;1;1;1;1;1;1</v>
      </c>
      <c r="AH273" t="str">
        <f>CONCATENATE(AG273,$E$1,AG281)</f>
        <v>1;1;1;1;1;1;1;1;1;1;1;1;1;1;1;1;1;1;0</v>
      </c>
    </row>
    <row r="274" spans="1:34" x14ac:dyDescent="0.25">
      <c r="A274" t="str">
        <f>Master!A669</f>
        <v>R669</v>
      </c>
      <c r="B274" t="str">
        <f>Master!C669</f>
        <v>L-Arginine_ext + .33 Maintenance_energy = L-Arginine</v>
      </c>
      <c r="C274" t="str">
        <f>Master!F669</f>
        <v>N</v>
      </c>
      <c r="D274">
        <f>Master!M669</f>
        <v>1</v>
      </c>
      <c r="F274" s="37" t="str">
        <f t="shared" si="49"/>
        <v>R669</v>
      </c>
      <c r="G274" s="37" t="str">
        <f t="shared" si="50"/>
        <v>L-Arginine_ext + .33 Maintenance_energy = L-Arginine</v>
      </c>
      <c r="H274" s="37" t="s">
        <v>1027</v>
      </c>
      <c r="I274" s="37" t="s">
        <v>1028</v>
      </c>
      <c r="J274" s="37" t="str">
        <f t="shared" si="51"/>
        <v>0</v>
      </c>
      <c r="K274" s="37" t="s">
        <v>195</v>
      </c>
      <c r="L274" s="37">
        <v>0</v>
      </c>
      <c r="M274" s="37">
        <v>0</v>
      </c>
      <c r="N274" s="37">
        <v>1</v>
      </c>
      <c r="O274" s="37">
        <v>1</v>
      </c>
      <c r="P274" s="37">
        <v>0</v>
      </c>
      <c r="Q274" s="37">
        <v>0.01</v>
      </c>
      <c r="AE274" t="str">
        <f t="shared" si="52"/>
        <v>1;1</v>
      </c>
    </row>
    <row r="275" spans="1:34" x14ac:dyDescent="0.25">
      <c r="A275" t="str">
        <f>Master!A670</f>
        <v>R670</v>
      </c>
      <c r="B275" t="str">
        <f>Master!C670</f>
        <v>L-Serine_ext + .33 Maintenance_energy = L-Serine</v>
      </c>
      <c r="C275" t="str">
        <f>Master!F670</f>
        <v>N</v>
      </c>
      <c r="D275">
        <f>Master!M670</f>
        <v>1</v>
      </c>
      <c r="F275" s="37" t="str">
        <f t="shared" si="49"/>
        <v>R670</v>
      </c>
      <c r="G275" s="37" t="str">
        <f t="shared" si="50"/>
        <v>L-Serine_ext + .33 Maintenance_energy = L-Serine</v>
      </c>
      <c r="H275" s="37" t="s">
        <v>1027</v>
      </c>
      <c r="I275" s="37" t="s">
        <v>1028</v>
      </c>
      <c r="J275" s="37" t="str">
        <f t="shared" si="51"/>
        <v>0</v>
      </c>
      <c r="K275" s="37" t="s">
        <v>195</v>
      </c>
      <c r="L275" s="37">
        <v>0</v>
      </c>
      <c r="M275" s="37">
        <v>0</v>
      </c>
      <c r="N275" s="37">
        <v>1</v>
      </c>
      <c r="O275" s="37">
        <v>1</v>
      </c>
      <c r="P275" s="37">
        <v>0</v>
      </c>
      <c r="Q275" s="37">
        <v>0.01</v>
      </c>
      <c r="AE275" t="str">
        <f t="shared" si="52"/>
        <v>1;1</v>
      </c>
    </row>
    <row r="276" spans="1:34" x14ac:dyDescent="0.25">
      <c r="A276" t="str">
        <f>Master!A671</f>
        <v>R671</v>
      </c>
      <c r="B276" t="str">
        <f>Master!C671</f>
        <v>L-Threonine_ext + .33 Maintenance_energy = L-Threonine</v>
      </c>
      <c r="C276" t="str">
        <f>Master!F671</f>
        <v>N</v>
      </c>
      <c r="D276">
        <f>Master!M671</f>
        <v>1</v>
      </c>
      <c r="F276" s="37" t="str">
        <f t="shared" si="49"/>
        <v>R671</v>
      </c>
      <c r="G276" s="37" t="str">
        <f t="shared" si="50"/>
        <v>L-Threonine_ext + .33 Maintenance_energy = L-Threonine</v>
      </c>
      <c r="H276" s="37" t="s">
        <v>1027</v>
      </c>
      <c r="I276" s="37" t="s">
        <v>1028</v>
      </c>
      <c r="J276" s="37" t="str">
        <f t="shared" si="51"/>
        <v>0</v>
      </c>
      <c r="K276" s="37" t="s">
        <v>195</v>
      </c>
      <c r="L276" s="37">
        <v>0</v>
      </c>
      <c r="M276" s="37">
        <v>0</v>
      </c>
      <c r="N276" s="37">
        <v>1</v>
      </c>
      <c r="O276" s="37">
        <v>1</v>
      </c>
      <c r="P276" s="37">
        <v>0</v>
      </c>
      <c r="Q276" s="37">
        <v>0.01</v>
      </c>
      <c r="AE276" t="str">
        <f t="shared" si="52"/>
        <v>1;1</v>
      </c>
    </row>
    <row r="277" spans="1:34" x14ac:dyDescent="0.25">
      <c r="A277" t="str">
        <f>Master!A672</f>
        <v>R672</v>
      </c>
      <c r="B277" t="str">
        <f>Master!C672</f>
        <v>L-Valine_ext + .33 Maintenance_energy = L-Valine</v>
      </c>
      <c r="C277" t="str">
        <f>Master!F672</f>
        <v>N</v>
      </c>
      <c r="D277">
        <f>Master!M672</f>
        <v>1</v>
      </c>
      <c r="F277" s="37" t="str">
        <f t="shared" si="49"/>
        <v>R672</v>
      </c>
      <c r="G277" s="37" t="str">
        <f t="shared" si="50"/>
        <v>L-Valine_ext + .33 Maintenance_energy = L-Valine</v>
      </c>
      <c r="H277" s="37" t="s">
        <v>1027</v>
      </c>
      <c r="I277" s="37" t="s">
        <v>1028</v>
      </c>
      <c r="J277" s="37" t="str">
        <f t="shared" si="51"/>
        <v>0</v>
      </c>
      <c r="K277" s="37" t="s">
        <v>195</v>
      </c>
      <c r="L277" s="37">
        <v>0</v>
      </c>
      <c r="M277" s="37">
        <v>0</v>
      </c>
      <c r="N277" s="37">
        <v>1</v>
      </c>
      <c r="O277" s="37">
        <v>1</v>
      </c>
      <c r="P277" s="37">
        <v>0</v>
      </c>
      <c r="Q277" s="37">
        <v>0.01</v>
      </c>
      <c r="AE277" t="str">
        <f t="shared" si="52"/>
        <v>1;1</v>
      </c>
      <c r="AF277" t="str">
        <f t="shared" si="53"/>
        <v>1;1;1;1</v>
      </c>
    </row>
    <row r="278" spans="1:34" x14ac:dyDescent="0.25">
      <c r="A278" t="str">
        <f>Master!A673</f>
        <v>R673</v>
      </c>
      <c r="B278" t="str">
        <f>Master!C673</f>
        <v>L-Tryptophan_ext + .33 Maintenance_energy = L-Tryptophan</v>
      </c>
      <c r="C278" t="str">
        <f>Master!F673</f>
        <v>N</v>
      </c>
      <c r="D278">
        <f>Master!M673</f>
        <v>1</v>
      </c>
      <c r="F278" s="37" t="str">
        <f t="shared" si="49"/>
        <v>R673</v>
      </c>
      <c r="G278" s="37" t="str">
        <f t="shared" si="50"/>
        <v>L-Tryptophan_ext + .33 Maintenance_energy = L-Tryptophan</v>
      </c>
      <c r="H278" s="37" t="s">
        <v>1027</v>
      </c>
      <c r="I278" s="37" t="s">
        <v>1028</v>
      </c>
      <c r="J278" s="37" t="str">
        <f t="shared" si="51"/>
        <v>0</v>
      </c>
      <c r="K278" s="37" t="s">
        <v>195</v>
      </c>
      <c r="L278" s="37">
        <v>0</v>
      </c>
      <c r="M278" s="37">
        <v>0</v>
      </c>
      <c r="N278" s="37">
        <v>1</v>
      </c>
      <c r="O278" s="37">
        <v>1</v>
      </c>
      <c r="P278" s="37">
        <v>0</v>
      </c>
      <c r="Q278" s="37">
        <v>0.01</v>
      </c>
      <c r="AE278" t="str">
        <f t="shared" si="52"/>
        <v>1;1</v>
      </c>
    </row>
    <row r="279" spans="1:34" x14ac:dyDescent="0.25">
      <c r="A279" t="str">
        <f>Master!A674</f>
        <v>R674</v>
      </c>
      <c r="B279" t="str">
        <f>Master!C674</f>
        <v>L-Tyrosine_ext + .33 Maintenance_energy = L-Tyrosine</v>
      </c>
      <c r="C279" t="str">
        <f>Master!F674</f>
        <v>N</v>
      </c>
      <c r="D279">
        <f>Master!M674</f>
        <v>1</v>
      </c>
      <c r="F279" s="37" t="str">
        <f t="shared" si="49"/>
        <v>R674</v>
      </c>
      <c r="G279" s="37" t="str">
        <f t="shared" si="50"/>
        <v>L-Tyrosine_ext + .33 Maintenance_energy = L-Tyrosine</v>
      </c>
      <c r="H279" s="37" t="s">
        <v>1027</v>
      </c>
      <c r="I279" s="37" t="s">
        <v>1028</v>
      </c>
      <c r="J279" s="37" t="str">
        <f t="shared" si="51"/>
        <v>0</v>
      </c>
      <c r="K279" s="37" t="s">
        <v>195</v>
      </c>
      <c r="L279" s="37">
        <v>0</v>
      </c>
      <c r="M279" s="37">
        <v>0</v>
      </c>
      <c r="N279" s="37">
        <v>1</v>
      </c>
      <c r="O279" s="37">
        <v>1</v>
      </c>
      <c r="P279" s="37">
        <v>0</v>
      </c>
      <c r="Q279" s="37">
        <v>0.01</v>
      </c>
      <c r="AE279" t="str">
        <f t="shared" si="52"/>
        <v>1;1</v>
      </c>
    </row>
    <row r="280" spans="1:34" x14ac:dyDescent="0.25">
      <c r="A280" t="str">
        <f>Master!A675</f>
        <v>R675</v>
      </c>
      <c r="B280" t="str">
        <f>Master!C675</f>
        <v xml:space="preserve">33 ATP + 33 H2O + 1 myell_protein_ext = 33 ADP + 1 myell_protein + 33 Phosphate + 33 Proton </v>
      </c>
      <c r="C280" t="str">
        <f>Master!F675</f>
        <v>N</v>
      </c>
      <c r="D280">
        <f>Master!M675</f>
        <v>1</v>
      </c>
      <c r="F280" s="37" t="str">
        <f t="shared" si="49"/>
        <v>R675</v>
      </c>
      <c r="G280" s="37" t="str">
        <f t="shared" si="50"/>
        <v xml:space="preserve">33 ATP + 33 H2O + 1 myell_protein_ext = 33 ADP + 1 myell_protein + 33 Phosphate + 33 Proton </v>
      </c>
      <c r="H280" s="37" t="s">
        <v>1027</v>
      </c>
      <c r="I280" s="37" t="s">
        <v>1028</v>
      </c>
      <c r="J280" s="37" t="str">
        <f t="shared" si="51"/>
        <v>0</v>
      </c>
      <c r="K280" s="37" t="s">
        <v>195</v>
      </c>
      <c r="L280" s="37">
        <v>0</v>
      </c>
      <c r="M280" s="37">
        <v>0</v>
      </c>
      <c r="N280" s="37">
        <v>1</v>
      </c>
      <c r="O280" s="37">
        <v>1</v>
      </c>
      <c r="P280" s="37">
        <v>0</v>
      </c>
      <c r="Q280" s="37">
        <v>0.01</v>
      </c>
      <c r="AE280" t="str">
        <f t="shared" si="52"/>
        <v>1;1</v>
      </c>
    </row>
    <row r="281" spans="1:34" x14ac:dyDescent="0.25">
      <c r="A281" t="str">
        <f>Master!A677</f>
        <v>R677</v>
      </c>
      <c r="B281" t="str">
        <f>Master!C677</f>
        <v>1 AMP_ext = 1 AMP_deg</v>
      </c>
      <c r="C281" t="str">
        <f>Master!F677</f>
        <v>N</v>
      </c>
      <c r="D281">
        <f>Master!M677</f>
        <v>1</v>
      </c>
      <c r="F281" s="37" t="str">
        <f t="shared" si="49"/>
        <v>R677</v>
      </c>
      <c r="G281" s="37" t="str">
        <f t="shared" si="50"/>
        <v>1 AMP_ext = 1 AMP_deg</v>
      </c>
      <c r="H281" s="37" t="s">
        <v>1027</v>
      </c>
      <c r="I281" s="37" t="s">
        <v>1028</v>
      </c>
      <c r="J281" s="37" t="str">
        <f t="shared" si="51"/>
        <v>0</v>
      </c>
      <c r="K281" s="37" t="s">
        <v>195</v>
      </c>
      <c r="L281" s="37">
        <v>0</v>
      </c>
      <c r="M281" s="37">
        <v>0</v>
      </c>
      <c r="N281" s="37">
        <v>1</v>
      </c>
      <c r="O281" s="37">
        <v>1</v>
      </c>
      <c r="P281" s="37">
        <v>0</v>
      </c>
      <c r="Q281" s="37">
        <v>0.01</v>
      </c>
      <c r="AE281" t="str">
        <f t="shared" si="52"/>
        <v>1;1</v>
      </c>
      <c r="AF281" t="str">
        <f t="shared" si="53"/>
        <v>1;1;1;1</v>
      </c>
      <c r="AG281" t="str">
        <f>CONCATENATE(AF281,$E$1,AF285,$E$1,AF289)</f>
        <v>1;1;1;1;1;1;1;1;1;1;0</v>
      </c>
    </row>
    <row r="282" spans="1:34" x14ac:dyDescent="0.25">
      <c r="A282" t="str">
        <f>Master!A678</f>
        <v>R678</v>
      </c>
      <c r="B282" t="str">
        <f>Master!C678</f>
        <v>1 GMP_ext = 1 GMP_deg</v>
      </c>
      <c r="C282" t="str">
        <f>Master!F678</f>
        <v>N</v>
      </c>
      <c r="D282">
        <f>Master!M678</f>
        <v>1</v>
      </c>
      <c r="F282" s="37" t="str">
        <f t="shared" si="49"/>
        <v>R678</v>
      </c>
      <c r="G282" s="37" t="str">
        <f t="shared" si="50"/>
        <v>1 GMP_ext = 1 GMP_deg</v>
      </c>
      <c r="H282" s="37" t="s">
        <v>1027</v>
      </c>
      <c r="I282" s="37" t="s">
        <v>1028</v>
      </c>
      <c r="J282" s="37" t="str">
        <f t="shared" si="51"/>
        <v>0</v>
      </c>
      <c r="K282" s="37" t="s">
        <v>195</v>
      </c>
      <c r="L282" s="37">
        <v>0</v>
      </c>
      <c r="M282" s="37">
        <v>0</v>
      </c>
      <c r="N282" s="37">
        <v>1</v>
      </c>
      <c r="O282" s="37">
        <v>1</v>
      </c>
      <c r="P282" s="37">
        <v>0</v>
      </c>
      <c r="Q282" s="37">
        <v>0.01</v>
      </c>
      <c r="AE282" t="str">
        <f t="shared" si="52"/>
        <v>1;1</v>
      </c>
    </row>
    <row r="283" spans="1:34" x14ac:dyDescent="0.25">
      <c r="A283" t="str">
        <f>Master!A679</f>
        <v>R679</v>
      </c>
      <c r="B283" t="str">
        <f>Master!C679</f>
        <v>1 UMP_ext = 1 UMP_deg</v>
      </c>
      <c r="C283" t="str">
        <f>Master!F679</f>
        <v>N</v>
      </c>
      <c r="D283">
        <f>Master!M679</f>
        <v>1</v>
      </c>
      <c r="F283" s="37" t="str">
        <f t="shared" si="49"/>
        <v>R679</v>
      </c>
      <c r="G283" s="37" t="str">
        <f t="shared" si="50"/>
        <v>1 UMP_ext = 1 UMP_deg</v>
      </c>
      <c r="H283" s="37" t="s">
        <v>1027</v>
      </c>
      <c r="I283" s="37" t="s">
        <v>1028</v>
      </c>
      <c r="J283" s="37" t="str">
        <f t="shared" si="51"/>
        <v>0</v>
      </c>
      <c r="K283" s="37" t="s">
        <v>195</v>
      </c>
      <c r="L283" s="37">
        <v>0</v>
      </c>
      <c r="M283" s="37">
        <v>0</v>
      </c>
      <c r="N283" s="37">
        <v>1</v>
      </c>
      <c r="O283" s="37">
        <v>1</v>
      </c>
      <c r="P283" s="37">
        <v>0</v>
      </c>
      <c r="Q283" s="37">
        <v>0.01</v>
      </c>
      <c r="AE283" t="str">
        <f t="shared" si="52"/>
        <v>1;1</v>
      </c>
    </row>
    <row r="284" spans="1:34" x14ac:dyDescent="0.25">
      <c r="A284" t="str">
        <f>Master!A680</f>
        <v>R680</v>
      </c>
      <c r="B284" t="str">
        <f>Master!C680</f>
        <v>1 CMP_ext = 1 CMP_deg</v>
      </c>
      <c r="C284" t="str">
        <f>Master!F680</f>
        <v>N</v>
      </c>
      <c r="D284">
        <f>Master!M680</f>
        <v>1</v>
      </c>
      <c r="F284" s="37" t="str">
        <f t="shared" si="49"/>
        <v>R680</v>
      </c>
      <c r="G284" s="37" t="str">
        <f t="shared" si="50"/>
        <v>1 CMP_ext = 1 CMP_deg</v>
      </c>
      <c r="H284" s="37" t="s">
        <v>1027</v>
      </c>
      <c r="I284" s="37" t="s">
        <v>1028</v>
      </c>
      <c r="J284" s="37" t="str">
        <f t="shared" si="51"/>
        <v>0</v>
      </c>
      <c r="K284" s="37" t="s">
        <v>195</v>
      </c>
      <c r="L284" s="37">
        <v>0</v>
      </c>
      <c r="M284" s="37">
        <v>0</v>
      </c>
      <c r="N284" s="37">
        <v>1</v>
      </c>
      <c r="O284" s="37">
        <v>1</v>
      </c>
      <c r="P284" s="37">
        <v>0</v>
      </c>
      <c r="Q284" s="37">
        <v>0.01</v>
      </c>
      <c r="AE284" t="str">
        <f t="shared" si="52"/>
        <v>1;1</v>
      </c>
    </row>
    <row r="285" spans="1:34" x14ac:dyDescent="0.25">
      <c r="A285" t="str">
        <f>Master!A681</f>
        <v>R681</v>
      </c>
      <c r="B285" t="str">
        <f>Master!C681</f>
        <v xml:space="preserve">1 myell_rRNA_ext = 1 myell_rRNA </v>
      </c>
      <c r="C285" t="str">
        <f>Master!F681</f>
        <v>N</v>
      </c>
      <c r="D285">
        <f>Master!M681</f>
        <v>1</v>
      </c>
      <c r="F285" s="37" t="str">
        <f t="shared" si="49"/>
        <v>R681</v>
      </c>
      <c r="G285" s="37" t="str">
        <f t="shared" si="50"/>
        <v xml:space="preserve">1 myell_rRNA_ext = 1 myell_rRNA </v>
      </c>
      <c r="H285" s="37" t="s">
        <v>1027</v>
      </c>
      <c r="I285" s="37" t="s">
        <v>1028</v>
      </c>
      <c r="J285" s="37" t="str">
        <f t="shared" si="51"/>
        <v>0</v>
      </c>
      <c r="K285" s="37" t="s">
        <v>195</v>
      </c>
      <c r="L285" s="37">
        <v>0</v>
      </c>
      <c r="M285" s="37">
        <v>0</v>
      </c>
      <c r="N285" s="37">
        <v>1</v>
      </c>
      <c r="O285" s="37">
        <v>1</v>
      </c>
      <c r="P285" s="37">
        <v>0</v>
      </c>
      <c r="Q285" s="37">
        <v>0.01</v>
      </c>
      <c r="AE285" t="str">
        <f t="shared" si="52"/>
        <v>1;1</v>
      </c>
      <c r="AF285" t="str">
        <f>CONCATENATE(AE285,$E$1,AE287)</f>
        <v>1;1;1;1</v>
      </c>
    </row>
    <row r="286" spans="1:34" x14ac:dyDescent="0.25">
      <c r="A286" t="str">
        <f>Master!A683</f>
        <v>R683</v>
      </c>
      <c r="B286" t="str">
        <f>Master!C683</f>
        <v xml:space="preserve">1 myell_lipid_ext + 1 ATP + 1 H2O = 1 caldarchaeol_di-P + 1 ADP + 1 Phosphate + 1 Proton </v>
      </c>
      <c r="C286" t="str">
        <f>Master!F683</f>
        <v>N</v>
      </c>
      <c r="D286">
        <f>Master!M683</f>
        <v>1</v>
      </c>
      <c r="F286" s="37" t="str">
        <f t="shared" si="49"/>
        <v>R683</v>
      </c>
      <c r="G286" s="37" t="str">
        <f t="shared" si="50"/>
        <v xml:space="preserve">1 myell_lipid_ext + 1 ATP + 1 H2O = 1 caldarchaeol_di-P + 1 ADP + 1 Phosphate + 1 Proton </v>
      </c>
      <c r="H286" s="37" t="s">
        <v>1027</v>
      </c>
      <c r="I286" s="37" t="s">
        <v>1028</v>
      </c>
      <c r="J286" s="37" t="str">
        <f t="shared" si="51"/>
        <v>0</v>
      </c>
      <c r="K286" s="37" t="s">
        <v>195</v>
      </c>
      <c r="L286" s="37">
        <v>0</v>
      </c>
      <c r="M286" s="37">
        <v>0</v>
      </c>
      <c r="N286" s="37">
        <v>1</v>
      </c>
      <c r="O286" s="37">
        <v>1</v>
      </c>
      <c r="P286" s="37">
        <v>0</v>
      </c>
      <c r="Q286" s="37">
        <v>0.01</v>
      </c>
      <c r="AE286" t="str">
        <f t="shared" si="52"/>
        <v>1;1</v>
      </c>
    </row>
    <row r="287" spans="1:34" x14ac:dyDescent="0.25">
      <c r="A287" t="str">
        <f>Master!A685</f>
        <v>R685</v>
      </c>
      <c r="B287" t="str">
        <f>Master!C685</f>
        <v>1 myell_DNA = 1 myell_DNA_EXT</v>
      </c>
      <c r="C287" t="str">
        <f>Master!F685</f>
        <v>N</v>
      </c>
      <c r="D287">
        <f>Master!M685</f>
        <v>1</v>
      </c>
      <c r="F287" s="37" t="str">
        <f t="shared" si="49"/>
        <v>R685</v>
      </c>
      <c r="G287" s="37" t="str">
        <f t="shared" si="50"/>
        <v>1 myell_DNA = 1 myell_DNA_EXT</v>
      </c>
      <c r="H287" s="37" t="s">
        <v>1027</v>
      </c>
      <c r="I287" s="37" t="s">
        <v>1028</v>
      </c>
      <c r="J287" s="37" t="str">
        <f t="shared" si="51"/>
        <v>0</v>
      </c>
      <c r="K287" s="37" t="s">
        <v>195</v>
      </c>
      <c r="L287" s="37">
        <v>0</v>
      </c>
      <c r="M287" s="37">
        <v>0</v>
      </c>
      <c r="N287" s="37">
        <v>1</v>
      </c>
      <c r="O287" s="37">
        <v>1</v>
      </c>
      <c r="P287" s="37">
        <v>0</v>
      </c>
      <c r="Q287" s="37">
        <v>0.01</v>
      </c>
      <c r="AE287" t="str">
        <f t="shared" si="52"/>
        <v>1;1</v>
      </c>
    </row>
    <row r="288" spans="1:34" x14ac:dyDescent="0.25">
      <c r="A288" t="str">
        <f>Master!A687</f>
        <v>R687</v>
      </c>
      <c r="B288" t="str">
        <f>Master!C687</f>
        <v>1 myell_biomass_ext = 1 myell_biomass</v>
      </c>
      <c r="C288" t="str">
        <f>Master!F687</f>
        <v>N</v>
      </c>
      <c r="D288">
        <f>Master!M687</f>
        <v>1</v>
      </c>
      <c r="F288" s="37" t="str">
        <f t="shared" si="49"/>
        <v>R687</v>
      </c>
      <c r="G288" s="37" t="str">
        <f t="shared" si="50"/>
        <v>1 myell_biomass_ext = 1 myell_biomass</v>
      </c>
      <c r="H288" s="37" t="s">
        <v>1027</v>
      </c>
      <c r="I288" s="37" t="s">
        <v>1028</v>
      </c>
      <c r="J288" s="37" t="str">
        <f t="shared" si="51"/>
        <v>0</v>
      </c>
      <c r="K288" s="37" t="s">
        <v>195</v>
      </c>
      <c r="L288" s="37">
        <v>0</v>
      </c>
      <c r="M288" s="37">
        <v>0</v>
      </c>
      <c r="N288" s="37">
        <v>1</v>
      </c>
      <c r="O288" s="37">
        <v>1</v>
      </c>
      <c r="P288" s="37">
        <v>0</v>
      </c>
      <c r="Q288" s="37">
        <v>0.01</v>
      </c>
      <c r="AE288" t="str">
        <f t="shared" si="52"/>
        <v>1;1</v>
      </c>
    </row>
    <row r="289" spans="1:32" x14ac:dyDescent="0.25">
      <c r="A289" t="str">
        <f>Master!A689</f>
        <v>R689</v>
      </c>
      <c r="B289" t="str">
        <f>Master!C689</f>
        <v>1 myell_biomass + 2.145 Maintenance_energy = 0.503 myell_rRNA + 0.075 caldarchaeol_di-P + 0.321 CELB + 0.053 myell_protein + 0.065 myell_DNA</v>
      </c>
      <c r="C289" t="str">
        <f>Master!F689</f>
        <v>N</v>
      </c>
      <c r="D289">
        <f>Master!M689</f>
        <v>1</v>
      </c>
      <c r="F289" s="37" t="str">
        <f t="shared" si="49"/>
        <v>R689</v>
      </c>
      <c r="G289" s="37" t="str">
        <f t="shared" si="50"/>
        <v>1 myell_biomass + 2.145 Maintenance_energy = 0.503 myell_rRNA + 0.075 caldarchaeol_di-P + 0.321 CELB + 0.053 myell_protein + 0.065 myell_DNA</v>
      </c>
      <c r="H289" s="37" t="s">
        <v>1027</v>
      </c>
      <c r="I289" s="37" t="s">
        <v>1028</v>
      </c>
      <c r="J289" s="37" t="str">
        <f t="shared" si="51"/>
        <v>0</v>
      </c>
      <c r="K289" s="37" t="s">
        <v>195</v>
      </c>
      <c r="L289" s="37">
        <v>0</v>
      </c>
      <c r="M289" s="37">
        <v>0</v>
      </c>
      <c r="N289" s="37">
        <v>1</v>
      </c>
      <c r="O289" s="37">
        <v>1</v>
      </c>
      <c r="P289" s="37">
        <v>0</v>
      </c>
      <c r="Q289" s="37">
        <v>0.01</v>
      </c>
      <c r="AE289" t="str">
        <f t="shared" si="52"/>
        <v>1;1</v>
      </c>
      <c r="AF289" t="str">
        <f>CONCATENATE(AE289,$E$1,AE291)</f>
        <v>1;1;0</v>
      </c>
    </row>
    <row r="290" spans="1:32" x14ac:dyDescent="0.25">
      <c r="A290" t="str">
        <f>Master!A691</f>
        <v>R691</v>
      </c>
      <c r="B290" t="str">
        <f>Master!C691</f>
        <v xml:space="preserve">1 ATP + 1 H2O = 1 ADP + 1 Maintenance_energy + 1 Phosphate + 1 Proton </v>
      </c>
      <c r="C290" t="str">
        <f>Master!F691</f>
        <v>N</v>
      </c>
      <c r="D290">
        <f>Master!M691</f>
        <v>1</v>
      </c>
      <c r="F290" s="37" t="str">
        <f t="shared" si="49"/>
        <v>R691</v>
      </c>
      <c r="G290" s="37" t="str">
        <f t="shared" si="50"/>
        <v xml:space="preserve">1 ATP + 1 H2O = 1 ADP + 1 Maintenance_energy + 1 Phosphate + 1 Proton </v>
      </c>
      <c r="H290" s="37" t="s">
        <v>1027</v>
      </c>
      <c r="I290" s="37" t="s">
        <v>1028</v>
      </c>
      <c r="J290" s="37" t="str">
        <f t="shared" si="51"/>
        <v>0</v>
      </c>
      <c r="K290" s="37" t="s">
        <v>195</v>
      </c>
      <c r="L290" s="37">
        <v>0</v>
      </c>
      <c r="M290" s="37">
        <v>0</v>
      </c>
      <c r="N290" s="37">
        <v>1</v>
      </c>
      <c r="O290" s="37">
        <v>1</v>
      </c>
      <c r="P290" s="37">
        <v>0</v>
      </c>
      <c r="Q290" s="37">
        <v>0.01</v>
      </c>
      <c r="AE290" t="str">
        <f>CONCATENATE(D290,$E$1,D291)</f>
        <v>1;0</v>
      </c>
    </row>
    <row r="291" spans="1:32" x14ac:dyDescent="0.25">
      <c r="A291" t="str">
        <f>Master!A693</f>
        <v>R693</v>
      </c>
      <c r="B291" t="str">
        <f>Master!C693</f>
        <v xml:space="preserve">1 Maintenance_energy = 1 Maintenance_leak </v>
      </c>
      <c r="C291" t="str">
        <f>Master!F693</f>
        <v>N</v>
      </c>
      <c r="D291">
        <f>Master!M693</f>
        <v>0</v>
      </c>
      <c r="F291" s="37" t="str">
        <f t="shared" si="49"/>
        <v>R693</v>
      </c>
      <c r="G291" s="37" t="str">
        <f t="shared" si="50"/>
        <v xml:space="preserve">1 Maintenance_energy = 1 Maintenance_leak </v>
      </c>
      <c r="H291" s="37" t="s">
        <v>1027</v>
      </c>
      <c r="I291" s="37" t="s">
        <v>1028</v>
      </c>
      <c r="J291" s="37" t="str">
        <f t="shared" si="51"/>
        <v>0</v>
      </c>
      <c r="K291" s="37" t="s">
        <v>195</v>
      </c>
      <c r="L291" s="37">
        <v>0</v>
      </c>
      <c r="M291" s="37">
        <v>0</v>
      </c>
      <c r="N291" s="37">
        <v>1</v>
      </c>
      <c r="O291" s="37">
        <v>1</v>
      </c>
      <c r="P291" s="37">
        <v>0</v>
      </c>
      <c r="Q291" s="37">
        <v>0.01</v>
      </c>
      <c r="AE291" t="str">
        <f>CONCATENATE(D291)</f>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T282"/>
  <sheetViews>
    <sheetView zoomScale="90" zoomScaleNormal="90" workbookViewId="0">
      <pane ySplit="1" topLeftCell="A185" activePane="bottomLeft" state="frozen"/>
      <selection pane="bottomLeft" activeCell="A254" sqref="A254"/>
    </sheetView>
  </sheetViews>
  <sheetFormatPr defaultRowHeight="15" customHeight="1" x14ac:dyDescent="0.25"/>
  <cols>
    <col min="1" max="1" width="52.5703125" bestFit="1" customWidth="1"/>
    <col min="2" max="2" width="6.28515625" customWidth="1"/>
    <col min="3" max="3" width="2.5703125" bestFit="1" customWidth="1"/>
    <col min="4" max="4" width="4.28515625" customWidth="1"/>
    <col min="6" max="6" width="17" bestFit="1" customWidth="1"/>
    <col min="7" max="7" width="8.5703125" customWidth="1"/>
    <col min="8" max="11" width="5.140625" customWidth="1"/>
    <col min="12" max="12" width="5" customWidth="1"/>
    <col min="13" max="13" width="7" customWidth="1"/>
    <col min="16" max="16" width="13.140625" customWidth="1"/>
    <col min="17" max="17" width="13.140625" bestFit="1" customWidth="1"/>
    <col min="18" max="18" width="11.42578125" bestFit="1" customWidth="1"/>
    <col min="19" max="19" width="12" bestFit="1" customWidth="1"/>
  </cols>
  <sheetData>
    <row r="1" spans="1:20" ht="15" customHeight="1" x14ac:dyDescent="0.25">
      <c r="D1">
        <f>IF(OR(EXACT(A1,"formaldehyde_ext"),EXACT(A1,"formate_ext"),EXACT(A1,"Acetate_ext"),EXACT(A1,"CO2_out"),EXACT(A1,"H2O"),EXACT(A1,"H2O2_ext"),EXACT(A1,"H2S_ext"),EXACT(A1,"kg_biomass_EXT"),EXACT(A1,"Maintenance_leak"),EXACT(A1,"NH3_ext"),EXACT(A1,"O2_out"),EXACT(A1,"Phosphate_out"),EXACT(A1,"proton_external"),EXACT(A1,"urea_ext"),EXACT(A1,"myell_DNA_EXT"),EXACT(A1,"myell_biomass_ext"), EXACT(A1,"Lactate_ext")),1,0)</f>
        <v>0</v>
      </c>
      <c r="F1" s="4" t="s">
        <v>1248</v>
      </c>
      <c r="G1" s="4" t="s">
        <v>749</v>
      </c>
      <c r="H1" s="4" t="s">
        <v>756</v>
      </c>
      <c r="I1" s="4" t="s">
        <v>746</v>
      </c>
      <c r="J1" s="4" t="s">
        <v>1249</v>
      </c>
      <c r="K1" s="4" t="s">
        <v>768</v>
      </c>
      <c r="L1" s="4" t="s">
        <v>770</v>
      </c>
      <c r="M1" s="3" t="s">
        <v>1255</v>
      </c>
      <c r="N1" s="3" t="s">
        <v>1254</v>
      </c>
      <c r="O1" s="3"/>
      <c r="P1" s="4" t="s">
        <v>1250</v>
      </c>
      <c r="Q1" s="3" t="s">
        <v>1251</v>
      </c>
      <c r="R1" s="3" t="s">
        <v>1252</v>
      </c>
      <c r="S1" s="3" t="s">
        <v>1253</v>
      </c>
      <c r="T1" s="3"/>
    </row>
    <row r="2" spans="1:20" ht="15" customHeight="1" x14ac:dyDescent="0.35">
      <c r="A2" t="s">
        <v>1256</v>
      </c>
      <c r="B2" t="s">
        <v>1256</v>
      </c>
      <c r="C2">
        <v>0</v>
      </c>
      <c r="D2">
        <f t="shared" ref="D2:D65" si="0">IF(OR(EXACT(A2,"formaldehyde_ext"),EXACT(A2,"formate_ext"),EXACT(A2,"Acetate_ext"),EXACT(A2,"CO2_out"),EXACT(A2,"H2O"),EXACT(A2,"H2O2_ext"),EXACT(A2,"H2S_ext"),EXACT(A2,"kg_biomass_EXT"),EXACT(A2,"Maintenance_leak"),EXACT(A2,"NH3_ext"),EXACT(A2,"O2_out"),EXACT(A2,"Phosphate_out"),EXACT(A2,"proton_external"),EXACT(A2,"urea_ext"),EXACT(A2,"myell_DNA_EXT"),EXACT(A2,"myell_biomass_ext")),1,0)</f>
        <v>0</v>
      </c>
      <c r="F2" s="3" t="s">
        <v>1257</v>
      </c>
      <c r="G2" s="3">
        <v>3</v>
      </c>
      <c r="H2" s="3">
        <v>4</v>
      </c>
      <c r="I2" s="3"/>
      <c r="J2" s="3">
        <v>10</v>
      </c>
      <c r="K2" s="3">
        <v>2</v>
      </c>
      <c r="L2" s="3"/>
      <c r="M2" s="3">
        <f t="shared" ref="M2:M48" si="1">IF(G2=0,N2,N2*G2)</f>
        <v>10</v>
      </c>
      <c r="N2" s="3">
        <f t="shared" ref="N2:N48" si="2">IF(G2=0,(4*G2+H2-2*J2-3*I2+5*K2-2*L2-S2),(4*G2+H2-2*J2-3*I2+5*K2-2*L2-S2)/G2)</f>
        <v>3.3333333333333335</v>
      </c>
      <c r="O2" s="3">
        <f>IF(G2=0,(4*G2+H2-2*J2+5*K2-2*L2-S2),(4*G2+H2-2*J2+5*K2-2*L2-S2)/G2)</f>
        <v>3.3333333333333335</v>
      </c>
      <c r="P2" s="3" t="s">
        <v>1258</v>
      </c>
      <c r="Q2" s="3">
        <f t="shared" ref="Q2:Q48" si="3">SUM(LEN($P2)-LEN(SUBSTITUTE($P2,"-","")))/LEN("-")</f>
        <v>4</v>
      </c>
      <c r="R2" s="3">
        <f t="shared" ref="R2:R48" si="4">SUM(LEN($P2)-LEN(SUBSTITUTE($P2,"+","")))/LEN("+")</f>
        <v>0</v>
      </c>
      <c r="S2" s="3">
        <f t="shared" ref="S2:S48" si="5">R2-Q2</f>
        <v>-4</v>
      </c>
      <c r="T2" s="3"/>
    </row>
    <row r="3" spans="1:20" ht="15" customHeight="1" x14ac:dyDescent="0.35">
      <c r="A3" t="s">
        <v>1259</v>
      </c>
      <c r="B3" t="s">
        <v>1259</v>
      </c>
      <c r="C3">
        <v>0</v>
      </c>
      <c r="D3">
        <f t="shared" si="0"/>
        <v>0</v>
      </c>
      <c r="F3" s="3" t="s">
        <v>1260</v>
      </c>
      <c r="G3" s="3">
        <v>20</v>
      </c>
      <c r="H3" s="3">
        <v>21</v>
      </c>
      <c r="I3" s="3">
        <v>7</v>
      </c>
      <c r="J3" s="3">
        <v>7</v>
      </c>
      <c r="K3" s="3"/>
      <c r="L3" s="3"/>
      <c r="M3" s="3">
        <f t="shared" si="1"/>
        <v>68</v>
      </c>
      <c r="N3" s="3">
        <f t="shared" si="2"/>
        <v>3.4</v>
      </c>
      <c r="O3" s="3">
        <f t="shared" ref="O3:O66" si="6">IF(G3=0,(4*G3+H3-2*J3+5*K3-2*L3-S3),(4*G3+H3-2*J3+5*K3-2*L3-S3)/G3)</f>
        <v>4.45</v>
      </c>
      <c r="P3" s="3" t="s">
        <v>1261</v>
      </c>
      <c r="Q3" s="3">
        <f t="shared" si="3"/>
        <v>2</v>
      </c>
      <c r="R3" s="3">
        <f t="shared" si="4"/>
        <v>0</v>
      </c>
      <c r="S3" s="3">
        <f t="shared" si="5"/>
        <v>-2</v>
      </c>
      <c r="T3" s="3"/>
    </row>
    <row r="4" spans="1:20" ht="15" customHeight="1" x14ac:dyDescent="0.35">
      <c r="A4" t="s">
        <v>1262</v>
      </c>
      <c r="B4" t="s">
        <v>1262</v>
      </c>
      <c r="C4">
        <v>0</v>
      </c>
      <c r="D4">
        <f t="shared" si="0"/>
        <v>0</v>
      </c>
      <c r="F4" s="3" t="s">
        <v>1092</v>
      </c>
      <c r="G4" s="3">
        <v>12</v>
      </c>
      <c r="H4" s="3">
        <v>13</v>
      </c>
      <c r="I4" s="3">
        <v>1</v>
      </c>
      <c r="J4" s="3">
        <v>9</v>
      </c>
      <c r="K4" s="3">
        <v>1</v>
      </c>
      <c r="L4" s="3"/>
      <c r="M4" s="3">
        <f t="shared" si="1"/>
        <v>48</v>
      </c>
      <c r="N4" s="3">
        <f t="shared" si="2"/>
        <v>4</v>
      </c>
      <c r="O4" s="3">
        <f t="shared" si="6"/>
        <v>4.25</v>
      </c>
      <c r="P4" s="3" t="s">
        <v>1263</v>
      </c>
      <c r="Q4" s="3">
        <f t="shared" si="3"/>
        <v>3</v>
      </c>
      <c r="R4" s="3">
        <f t="shared" si="4"/>
        <v>0</v>
      </c>
      <c r="S4" s="3">
        <f t="shared" si="5"/>
        <v>-3</v>
      </c>
      <c r="T4" s="3"/>
    </row>
    <row r="5" spans="1:20" ht="15" customHeight="1" x14ac:dyDescent="0.35">
      <c r="A5" t="s">
        <v>1264</v>
      </c>
      <c r="B5" t="s">
        <v>1264</v>
      </c>
      <c r="C5">
        <v>0</v>
      </c>
      <c r="D5">
        <f t="shared" si="0"/>
        <v>0</v>
      </c>
      <c r="F5" s="3" t="s">
        <v>1265</v>
      </c>
      <c r="G5" s="3">
        <v>5</v>
      </c>
      <c r="H5" s="3">
        <v>6</v>
      </c>
      <c r="I5" s="3">
        <v>1</v>
      </c>
      <c r="J5" s="3">
        <v>2</v>
      </c>
      <c r="K5" s="3"/>
      <c r="L5" s="3"/>
      <c r="M5" s="3">
        <f t="shared" si="1"/>
        <v>20</v>
      </c>
      <c r="N5" s="3">
        <f t="shared" si="2"/>
        <v>4</v>
      </c>
      <c r="O5" s="3">
        <f t="shared" si="6"/>
        <v>4.5999999999999996</v>
      </c>
      <c r="P5" s="3" t="s">
        <v>1266</v>
      </c>
      <c r="Q5" s="3">
        <f t="shared" si="3"/>
        <v>1</v>
      </c>
      <c r="R5" s="3">
        <f t="shared" si="4"/>
        <v>0</v>
      </c>
      <c r="S5" s="3">
        <f t="shared" si="5"/>
        <v>-1</v>
      </c>
      <c r="T5" s="3"/>
    </row>
    <row r="6" spans="1:20" ht="15" customHeight="1" x14ac:dyDescent="0.35">
      <c r="A6" t="s">
        <v>2144</v>
      </c>
      <c r="B6" t="s">
        <v>2144</v>
      </c>
      <c r="C6">
        <v>0</v>
      </c>
      <c r="D6">
        <f t="shared" si="0"/>
        <v>0</v>
      </c>
      <c r="F6" t="s">
        <v>2121</v>
      </c>
      <c r="G6" s="3">
        <v>43</v>
      </c>
      <c r="H6" s="3">
        <v>87</v>
      </c>
      <c r="J6" s="3">
        <v>6</v>
      </c>
      <c r="K6" s="3">
        <v>1</v>
      </c>
      <c r="M6" s="3">
        <f t="shared" si="1"/>
        <v>254</v>
      </c>
      <c r="N6" s="3">
        <f t="shared" si="2"/>
        <v>5.9069767441860463</v>
      </c>
      <c r="O6" s="3">
        <f t="shared" si="6"/>
        <v>5.9069767441860463</v>
      </c>
      <c r="P6" s="3" t="s">
        <v>2122</v>
      </c>
      <c r="Q6" s="3">
        <f t="shared" si="3"/>
        <v>2</v>
      </c>
      <c r="R6" s="3">
        <f t="shared" si="4"/>
        <v>0</v>
      </c>
      <c r="S6" s="3">
        <f t="shared" si="5"/>
        <v>-2</v>
      </c>
    </row>
    <row r="7" spans="1:20" ht="15" customHeight="1" x14ac:dyDescent="0.35">
      <c r="A7" t="s">
        <v>1267</v>
      </c>
      <c r="B7" t="s">
        <v>1267</v>
      </c>
      <c r="C7">
        <v>0</v>
      </c>
      <c r="D7">
        <f t="shared" si="0"/>
        <v>0</v>
      </c>
      <c r="F7" s="3" t="s">
        <v>1089</v>
      </c>
      <c r="G7" s="3">
        <v>6</v>
      </c>
      <c r="H7" s="3">
        <v>11</v>
      </c>
      <c r="I7" s="3"/>
      <c r="J7" s="3">
        <v>4</v>
      </c>
      <c r="K7" s="3"/>
      <c r="L7" s="3"/>
      <c r="M7" s="3">
        <f t="shared" si="1"/>
        <v>28</v>
      </c>
      <c r="N7" s="3">
        <f t="shared" si="2"/>
        <v>4.666666666666667</v>
      </c>
      <c r="O7" s="3">
        <f t="shared" si="6"/>
        <v>4.666666666666667</v>
      </c>
      <c r="P7" s="3" t="s">
        <v>1268</v>
      </c>
      <c r="Q7" s="3">
        <f t="shared" si="3"/>
        <v>1</v>
      </c>
      <c r="R7" s="3">
        <f t="shared" si="4"/>
        <v>0</v>
      </c>
      <c r="S7" s="3">
        <f t="shared" si="5"/>
        <v>-1</v>
      </c>
      <c r="T7" s="3"/>
    </row>
    <row r="8" spans="1:20" ht="15" customHeight="1" x14ac:dyDescent="0.35">
      <c r="A8" t="s">
        <v>1269</v>
      </c>
      <c r="B8" t="s">
        <v>1269</v>
      </c>
      <c r="C8">
        <v>0</v>
      </c>
      <c r="D8">
        <f t="shared" si="0"/>
        <v>0</v>
      </c>
      <c r="F8" s="3" t="s">
        <v>1270</v>
      </c>
      <c r="G8" s="3">
        <v>5</v>
      </c>
      <c r="H8" s="3">
        <v>9</v>
      </c>
      <c r="I8" s="3"/>
      <c r="J8" s="3">
        <v>4</v>
      </c>
      <c r="K8" s="3"/>
      <c r="L8" s="3"/>
      <c r="M8" s="3">
        <f t="shared" si="1"/>
        <v>22</v>
      </c>
      <c r="N8" s="3">
        <f t="shared" si="2"/>
        <v>4.4000000000000004</v>
      </c>
      <c r="O8" s="3">
        <f t="shared" si="6"/>
        <v>4.4000000000000004</v>
      </c>
      <c r="P8" s="3" t="s">
        <v>1271</v>
      </c>
      <c r="Q8" s="3">
        <f t="shared" si="3"/>
        <v>1</v>
      </c>
      <c r="R8" s="3">
        <f t="shared" si="4"/>
        <v>0</v>
      </c>
      <c r="S8" s="3">
        <f t="shared" si="5"/>
        <v>-1</v>
      </c>
      <c r="T8" s="3"/>
    </row>
    <row r="9" spans="1:20" ht="15" customHeight="1" x14ac:dyDescent="0.35">
      <c r="A9" t="s">
        <v>1272</v>
      </c>
      <c r="B9" t="s">
        <v>1272</v>
      </c>
      <c r="C9">
        <v>0</v>
      </c>
      <c r="D9">
        <f t="shared" si="0"/>
        <v>0</v>
      </c>
      <c r="F9" s="3" t="s">
        <v>1273</v>
      </c>
      <c r="G9" s="3">
        <v>6</v>
      </c>
      <c r="H9" s="3">
        <v>9</v>
      </c>
      <c r="I9" s="3"/>
      <c r="J9" s="3">
        <v>4</v>
      </c>
      <c r="K9" s="3"/>
      <c r="L9" s="3"/>
      <c r="M9" s="3">
        <f t="shared" si="1"/>
        <v>26</v>
      </c>
      <c r="N9" s="3">
        <f t="shared" si="2"/>
        <v>4.333333333333333</v>
      </c>
      <c r="O9" s="3">
        <f t="shared" si="6"/>
        <v>4.333333333333333</v>
      </c>
      <c r="P9" s="3" t="s">
        <v>1274</v>
      </c>
      <c r="Q9" s="3">
        <f t="shared" si="3"/>
        <v>1</v>
      </c>
      <c r="R9" s="3">
        <f t="shared" si="4"/>
        <v>0</v>
      </c>
      <c r="S9" s="3">
        <f t="shared" si="5"/>
        <v>-1</v>
      </c>
      <c r="T9" s="3"/>
    </row>
    <row r="10" spans="1:20" ht="15" customHeight="1" x14ac:dyDescent="0.35">
      <c r="A10" t="s">
        <v>1275</v>
      </c>
      <c r="B10" t="s">
        <v>1275</v>
      </c>
      <c r="C10">
        <v>0</v>
      </c>
      <c r="D10">
        <f t="shared" si="0"/>
        <v>0</v>
      </c>
      <c r="F10" s="3" t="s">
        <v>1276</v>
      </c>
      <c r="G10" s="3">
        <v>14</v>
      </c>
      <c r="H10" s="3">
        <v>20</v>
      </c>
      <c r="I10" s="3">
        <v>4</v>
      </c>
      <c r="J10" s="3">
        <v>8</v>
      </c>
      <c r="K10" s="3">
        <v>2</v>
      </c>
      <c r="L10" s="3">
        <v>1</v>
      </c>
      <c r="M10" s="3">
        <f t="shared" si="1"/>
        <v>58.000000000000007</v>
      </c>
      <c r="N10" s="3">
        <f t="shared" si="2"/>
        <v>4.1428571428571432</v>
      </c>
      <c r="O10" s="3">
        <f t="shared" si="6"/>
        <v>5</v>
      </c>
      <c r="P10" s="3" t="s">
        <v>1277</v>
      </c>
      <c r="Q10" s="3">
        <f t="shared" si="3"/>
        <v>3</v>
      </c>
      <c r="R10" s="3">
        <f t="shared" si="4"/>
        <v>1</v>
      </c>
      <c r="S10" s="3">
        <f t="shared" si="5"/>
        <v>-2</v>
      </c>
      <c r="T10" s="3"/>
    </row>
    <row r="11" spans="1:20" ht="15" customHeight="1" x14ac:dyDescent="0.35">
      <c r="A11" t="s">
        <v>2115</v>
      </c>
      <c r="B11" t="s">
        <v>2115</v>
      </c>
      <c r="C11">
        <v>0</v>
      </c>
      <c r="D11">
        <f t="shared" si="0"/>
        <v>0</v>
      </c>
      <c r="F11" t="s">
        <v>2132</v>
      </c>
      <c r="G11" s="3">
        <v>41</v>
      </c>
      <c r="H11" s="3">
        <v>70</v>
      </c>
      <c r="I11">
        <v>7</v>
      </c>
      <c r="J11" s="3">
        <v>18</v>
      </c>
      <c r="K11" s="3">
        <v>3</v>
      </c>
      <c r="L11" s="3">
        <v>1</v>
      </c>
      <c r="M11" s="3">
        <f t="shared" si="1"/>
        <v>194</v>
      </c>
      <c r="N11" s="3">
        <f t="shared" si="2"/>
        <v>4.7317073170731705</v>
      </c>
      <c r="O11" s="3">
        <f t="shared" si="6"/>
        <v>5.2439024390243905</v>
      </c>
      <c r="P11" s="3" t="s">
        <v>2133</v>
      </c>
      <c r="Q11" s="3">
        <f t="shared" si="3"/>
        <v>4</v>
      </c>
      <c r="R11" s="3">
        <f t="shared" si="4"/>
        <v>0</v>
      </c>
      <c r="S11" s="3">
        <f t="shared" si="5"/>
        <v>-4</v>
      </c>
    </row>
    <row r="12" spans="1:20" ht="15" customHeight="1" x14ac:dyDescent="0.35">
      <c r="A12" t="s">
        <v>1278</v>
      </c>
      <c r="B12" t="s">
        <v>1278</v>
      </c>
      <c r="C12">
        <v>0</v>
      </c>
      <c r="D12">
        <f t="shared" si="0"/>
        <v>0</v>
      </c>
      <c r="F12" s="3" t="s">
        <v>1279</v>
      </c>
      <c r="G12" s="3">
        <v>7</v>
      </c>
      <c r="H12" s="3">
        <v>8</v>
      </c>
      <c r="I12" s="3"/>
      <c r="J12" s="3">
        <v>5</v>
      </c>
      <c r="K12" s="3"/>
      <c r="L12" s="3"/>
      <c r="M12" s="3">
        <f t="shared" si="1"/>
        <v>28</v>
      </c>
      <c r="N12" s="3">
        <f t="shared" si="2"/>
        <v>4</v>
      </c>
      <c r="O12" s="3">
        <f t="shared" si="6"/>
        <v>4</v>
      </c>
      <c r="P12" s="3" t="s">
        <v>1280</v>
      </c>
      <c r="Q12" s="3">
        <f t="shared" si="3"/>
        <v>2</v>
      </c>
      <c r="R12" s="3">
        <f t="shared" si="4"/>
        <v>0</v>
      </c>
      <c r="S12" s="3">
        <f t="shared" si="5"/>
        <v>-2</v>
      </c>
      <c r="T12" s="3"/>
    </row>
    <row r="13" spans="1:20" ht="15" customHeight="1" x14ac:dyDescent="0.35">
      <c r="A13" t="s">
        <v>1281</v>
      </c>
      <c r="B13" t="s">
        <v>1281</v>
      </c>
      <c r="C13">
        <v>0</v>
      </c>
      <c r="D13">
        <f t="shared" si="0"/>
        <v>0</v>
      </c>
      <c r="F13" s="3" t="s">
        <v>1282</v>
      </c>
      <c r="G13" s="3">
        <v>7</v>
      </c>
      <c r="H13" s="3">
        <v>10</v>
      </c>
      <c r="I13" s="3"/>
      <c r="J13" s="3">
        <v>5</v>
      </c>
      <c r="K13" s="3"/>
      <c r="L13" s="3"/>
      <c r="M13" s="3">
        <f t="shared" si="1"/>
        <v>30</v>
      </c>
      <c r="N13" s="3">
        <f t="shared" si="2"/>
        <v>4.2857142857142856</v>
      </c>
      <c r="O13" s="3">
        <f t="shared" si="6"/>
        <v>4.2857142857142856</v>
      </c>
      <c r="P13" s="3" t="s">
        <v>1283</v>
      </c>
      <c r="Q13" s="3">
        <f t="shared" si="3"/>
        <v>2</v>
      </c>
      <c r="R13" s="3">
        <f t="shared" si="4"/>
        <v>0</v>
      </c>
      <c r="S13" s="3">
        <f t="shared" si="5"/>
        <v>-2</v>
      </c>
      <c r="T13" s="3"/>
    </row>
    <row r="14" spans="1:20" ht="15" customHeight="1" x14ac:dyDescent="0.35">
      <c r="A14" t="s">
        <v>1284</v>
      </c>
      <c r="B14" t="s">
        <v>1284</v>
      </c>
      <c r="C14">
        <v>0</v>
      </c>
      <c r="D14">
        <f t="shared" si="0"/>
        <v>0</v>
      </c>
      <c r="F14" s="3" t="s">
        <v>1285</v>
      </c>
      <c r="G14" s="3">
        <v>7</v>
      </c>
      <c r="H14" s="3">
        <v>8</v>
      </c>
      <c r="I14" s="3"/>
      <c r="J14" s="3">
        <v>4</v>
      </c>
      <c r="K14" s="3"/>
      <c r="L14" s="3"/>
      <c r="M14" s="3">
        <f t="shared" si="1"/>
        <v>30</v>
      </c>
      <c r="N14" s="3">
        <f t="shared" si="2"/>
        <v>4.2857142857142856</v>
      </c>
      <c r="O14" s="3">
        <f t="shared" si="6"/>
        <v>4.2857142857142856</v>
      </c>
      <c r="P14" s="3" t="s">
        <v>1286</v>
      </c>
      <c r="Q14" s="3">
        <f t="shared" si="3"/>
        <v>2</v>
      </c>
      <c r="R14" s="3">
        <f t="shared" si="4"/>
        <v>0</v>
      </c>
      <c r="S14" s="3">
        <f t="shared" si="5"/>
        <v>-2</v>
      </c>
      <c r="T14" s="3"/>
    </row>
    <row r="15" spans="1:20" ht="15" customHeight="1" x14ac:dyDescent="0.35">
      <c r="A15" t="s">
        <v>1287</v>
      </c>
      <c r="B15" t="s">
        <v>1287</v>
      </c>
      <c r="C15">
        <v>0</v>
      </c>
      <c r="D15">
        <f t="shared" si="0"/>
        <v>0</v>
      </c>
      <c r="F15" s="3" t="s">
        <v>1288</v>
      </c>
      <c r="G15" s="3">
        <v>6</v>
      </c>
      <c r="H15" s="3">
        <v>8</v>
      </c>
      <c r="I15" s="3"/>
      <c r="J15" s="3">
        <v>9</v>
      </c>
      <c r="K15" s="3">
        <v>1</v>
      </c>
      <c r="L15" s="3"/>
      <c r="M15" s="3">
        <f t="shared" si="1"/>
        <v>22</v>
      </c>
      <c r="N15" s="3">
        <f t="shared" si="2"/>
        <v>3.6666666666666665</v>
      </c>
      <c r="O15" s="3">
        <f t="shared" si="6"/>
        <v>3.6666666666666665</v>
      </c>
      <c r="P15" s="3" t="s">
        <v>1289</v>
      </c>
      <c r="Q15" s="3">
        <f t="shared" si="3"/>
        <v>3</v>
      </c>
      <c r="R15" s="3">
        <f t="shared" si="4"/>
        <v>0</v>
      </c>
      <c r="S15" s="3">
        <f t="shared" si="5"/>
        <v>-3</v>
      </c>
      <c r="T15" s="3"/>
    </row>
    <row r="16" spans="1:20" ht="15" customHeight="1" x14ac:dyDescent="0.35">
      <c r="A16" t="s">
        <v>1290</v>
      </c>
      <c r="B16" t="s">
        <v>1290</v>
      </c>
      <c r="C16">
        <v>0</v>
      </c>
      <c r="D16">
        <f t="shared" si="0"/>
        <v>0</v>
      </c>
      <c r="F16" s="3" t="s">
        <v>1291</v>
      </c>
      <c r="G16" s="3">
        <v>6</v>
      </c>
      <c r="H16" s="3">
        <v>9</v>
      </c>
      <c r="I16" s="3"/>
      <c r="J16" s="3">
        <v>6</v>
      </c>
      <c r="K16" s="3"/>
      <c r="L16" s="3"/>
      <c r="M16" s="3">
        <f t="shared" si="1"/>
        <v>22</v>
      </c>
      <c r="N16" s="3">
        <f t="shared" si="2"/>
        <v>3.6666666666666665</v>
      </c>
      <c r="O16" s="3">
        <f t="shared" si="6"/>
        <v>3.6666666666666665</v>
      </c>
      <c r="P16" s="3" t="s">
        <v>1292</v>
      </c>
      <c r="Q16" s="3">
        <f t="shared" si="3"/>
        <v>1</v>
      </c>
      <c r="R16" s="3">
        <f t="shared" si="4"/>
        <v>0</v>
      </c>
      <c r="S16" s="3">
        <f t="shared" si="5"/>
        <v>-1</v>
      </c>
      <c r="T16" s="3"/>
    </row>
    <row r="17" spans="1:20" ht="15" customHeight="1" x14ac:dyDescent="0.35">
      <c r="A17" t="s">
        <v>1294</v>
      </c>
      <c r="B17" t="s">
        <v>1294</v>
      </c>
      <c r="C17">
        <v>0</v>
      </c>
      <c r="D17">
        <f t="shared" si="0"/>
        <v>0</v>
      </c>
      <c r="F17" s="3" t="s">
        <v>1295</v>
      </c>
      <c r="G17" s="3">
        <v>4</v>
      </c>
      <c r="H17" s="3">
        <v>5</v>
      </c>
      <c r="I17" s="3"/>
      <c r="J17" s="3">
        <v>3</v>
      </c>
      <c r="K17" s="3"/>
      <c r="L17" s="3"/>
      <c r="M17" s="3">
        <f t="shared" si="1"/>
        <v>16</v>
      </c>
      <c r="N17" s="3">
        <f t="shared" si="2"/>
        <v>4</v>
      </c>
      <c r="O17" s="3">
        <f t="shared" si="6"/>
        <v>4</v>
      </c>
      <c r="P17" s="3" t="s">
        <v>1296</v>
      </c>
      <c r="Q17" s="3">
        <f t="shared" si="3"/>
        <v>1</v>
      </c>
      <c r="R17" s="3">
        <f t="shared" si="4"/>
        <v>0</v>
      </c>
      <c r="S17" s="3">
        <f t="shared" si="5"/>
        <v>-1</v>
      </c>
      <c r="T17" s="3"/>
    </row>
    <row r="18" spans="1:20" ht="15" customHeight="1" x14ac:dyDescent="0.35">
      <c r="A18" t="s">
        <v>1297</v>
      </c>
      <c r="B18" t="s">
        <v>1297</v>
      </c>
      <c r="C18">
        <v>0</v>
      </c>
      <c r="D18">
        <f t="shared" si="0"/>
        <v>0</v>
      </c>
      <c r="F18" s="3" t="s">
        <v>1298</v>
      </c>
      <c r="G18" s="3">
        <v>5</v>
      </c>
      <c r="H18" s="3">
        <v>4</v>
      </c>
      <c r="I18" s="3"/>
      <c r="J18" s="3">
        <v>5</v>
      </c>
      <c r="K18" s="3"/>
      <c r="L18" s="3"/>
      <c r="M18" s="3">
        <f t="shared" si="1"/>
        <v>16</v>
      </c>
      <c r="N18" s="3">
        <f t="shared" si="2"/>
        <v>3.2</v>
      </c>
      <c r="O18" s="3">
        <f t="shared" si="6"/>
        <v>3.2</v>
      </c>
      <c r="P18" s="3" t="s">
        <v>1299</v>
      </c>
      <c r="Q18" s="3">
        <f t="shared" si="3"/>
        <v>2</v>
      </c>
      <c r="R18" s="3">
        <f t="shared" si="4"/>
        <v>0</v>
      </c>
      <c r="S18" s="3">
        <f t="shared" si="5"/>
        <v>-2</v>
      </c>
      <c r="T18" s="3"/>
    </row>
    <row r="19" spans="1:20" ht="15" customHeight="1" x14ac:dyDescent="0.35">
      <c r="A19" t="s">
        <v>1300</v>
      </c>
      <c r="B19" t="s">
        <v>1300</v>
      </c>
      <c r="C19">
        <v>0</v>
      </c>
      <c r="D19">
        <f t="shared" si="0"/>
        <v>0</v>
      </c>
      <c r="F19" s="3" t="s">
        <v>1301</v>
      </c>
      <c r="G19" s="3">
        <v>3</v>
      </c>
      <c r="H19" s="3">
        <v>4</v>
      </c>
      <c r="I19" s="3"/>
      <c r="J19" s="3">
        <v>7</v>
      </c>
      <c r="K19" s="3">
        <v>1</v>
      </c>
      <c r="L19" s="3"/>
      <c r="M19" s="3">
        <f t="shared" si="1"/>
        <v>10</v>
      </c>
      <c r="N19" s="3">
        <f t="shared" si="2"/>
        <v>3.3333333333333335</v>
      </c>
      <c r="O19" s="3">
        <f t="shared" si="6"/>
        <v>3.3333333333333335</v>
      </c>
      <c r="P19" s="3" t="s">
        <v>1302</v>
      </c>
      <c r="Q19" s="3">
        <f t="shared" si="3"/>
        <v>3</v>
      </c>
      <c r="R19" s="3">
        <f t="shared" si="4"/>
        <v>0</v>
      </c>
      <c r="S19" s="3">
        <f t="shared" si="5"/>
        <v>-3</v>
      </c>
      <c r="T19" s="3"/>
    </row>
    <row r="20" spans="1:20" ht="15" customHeight="1" x14ac:dyDescent="0.35">
      <c r="A20" t="s">
        <v>1303</v>
      </c>
      <c r="B20" t="s">
        <v>1303</v>
      </c>
      <c r="C20">
        <v>0</v>
      </c>
      <c r="D20">
        <f t="shared" si="0"/>
        <v>0</v>
      </c>
      <c r="F20" s="3" t="s">
        <v>1304</v>
      </c>
      <c r="G20" s="3">
        <v>7</v>
      </c>
      <c r="H20" s="3">
        <v>7</v>
      </c>
      <c r="I20" s="3"/>
      <c r="J20" s="3">
        <v>5</v>
      </c>
      <c r="K20" s="3"/>
      <c r="L20" s="3"/>
      <c r="M20" s="3">
        <f t="shared" si="1"/>
        <v>26</v>
      </c>
      <c r="N20" s="3">
        <f t="shared" si="2"/>
        <v>3.7142857142857144</v>
      </c>
      <c r="O20" s="3">
        <f t="shared" si="6"/>
        <v>3.7142857142857144</v>
      </c>
      <c r="P20" s="3" t="s">
        <v>1305</v>
      </c>
      <c r="Q20" s="3">
        <f t="shared" si="3"/>
        <v>1</v>
      </c>
      <c r="R20" s="3">
        <f t="shared" si="4"/>
        <v>0</v>
      </c>
      <c r="S20" s="3">
        <f t="shared" si="5"/>
        <v>-1</v>
      </c>
      <c r="T20" s="3"/>
    </row>
    <row r="21" spans="1:20" ht="15" customHeight="1" x14ac:dyDescent="0.35">
      <c r="A21" t="s">
        <v>1306</v>
      </c>
      <c r="B21" t="s">
        <v>1306</v>
      </c>
      <c r="C21">
        <v>0</v>
      </c>
      <c r="D21">
        <f t="shared" si="0"/>
        <v>0</v>
      </c>
      <c r="F21" s="3" t="s">
        <v>1307</v>
      </c>
      <c r="G21" s="3">
        <v>6</v>
      </c>
      <c r="H21" s="3">
        <v>11</v>
      </c>
      <c r="I21" s="3"/>
      <c r="J21" s="3">
        <v>9</v>
      </c>
      <c r="K21" s="3">
        <v>1</v>
      </c>
      <c r="L21" s="3"/>
      <c r="M21" s="3">
        <f t="shared" si="1"/>
        <v>24</v>
      </c>
      <c r="N21" s="3">
        <f t="shared" si="2"/>
        <v>4</v>
      </c>
      <c r="O21" s="3">
        <f t="shared" si="6"/>
        <v>4</v>
      </c>
      <c r="P21" s="3" t="s">
        <v>1308</v>
      </c>
      <c r="Q21" s="3">
        <f t="shared" si="3"/>
        <v>2</v>
      </c>
      <c r="R21" s="3">
        <f t="shared" si="4"/>
        <v>0</v>
      </c>
      <c r="S21" s="3">
        <f t="shared" si="5"/>
        <v>-2</v>
      </c>
      <c r="T21" s="3"/>
    </row>
    <row r="22" spans="1:20" ht="15" customHeight="1" x14ac:dyDescent="0.35">
      <c r="A22" t="s">
        <v>1309</v>
      </c>
      <c r="B22" t="s">
        <v>1309</v>
      </c>
      <c r="C22">
        <v>0</v>
      </c>
      <c r="D22">
        <f t="shared" si="0"/>
        <v>0</v>
      </c>
      <c r="F22" s="3" t="s">
        <v>1310</v>
      </c>
      <c r="G22" s="3">
        <v>27</v>
      </c>
      <c r="H22" s="3">
        <v>39</v>
      </c>
      <c r="I22" s="3">
        <v>7</v>
      </c>
      <c r="J22" s="3">
        <v>20</v>
      </c>
      <c r="K22" s="3">
        <v>3</v>
      </c>
      <c r="L22" s="3">
        <v>1</v>
      </c>
      <c r="M22" s="3">
        <f t="shared" si="1"/>
        <v>104</v>
      </c>
      <c r="N22" s="3">
        <f t="shared" si="2"/>
        <v>3.8518518518518516</v>
      </c>
      <c r="O22" s="3">
        <f t="shared" si="6"/>
        <v>4.6296296296296298</v>
      </c>
      <c r="P22" s="3" t="s">
        <v>1311</v>
      </c>
      <c r="Q22" s="3">
        <f t="shared" si="3"/>
        <v>5</v>
      </c>
      <c r="R22" s="3">
        <f t="shared" si="4"/>
        <v>0</v>
      </c>
      <c r="S22" s="3">
        <f t="shared" si="5"/>
        <v>-5</v>
      </c>
      <c r="T22" s="3"/>
    </row>
    <row r="23" spans="1:20" ht="15" customHeight="1" x14ac:dyDescent="0.35">
      <c r="A23" t="s">
        <v>1312</v>
      </c>
      <c r="B23" t="s">
        <v>1312</v>
      </c>
      <c r="C23">
        <v>0</v>
      </c>
      <c r="D23">
        <f t="shared" si="0"/>
        <v>0</v>
      </c>
      <c r="F23" s="3" t="s">
        <v>1282</v>
      </c>
      <c r="G23" s="3">
        <v>7</v>
      </c>
      <c r="H23" s="3">
        <v>10</v>
      </c>
      <c r="I23" s="3"/>
      <c r="J23" s="3">
        <v>5</v>
      </c>
      <c r="K23" s="3"/>
      <c r="L23" s="3"/>
      <c r="M23" s="3">
        <f t="shared" si="1"/>
        <v>30</v>
      </c>
      <c r="N23" s="3">
        <f t="shared" si="2"/>
        <v>4.2857142857142856</v>
      </c>
      <c r="O23" s="3">
        <f t="shared" si="6"/>
        <v>4.2857142857142856</v>
      </c>
      <c r="P23" s="3" t="s">
        <v>1313</v>
      </c>
      <c r="Q23" s="3">
        <f t="shared" si="3"/>
        <v>2</v>
      </c>
      <c r="R23" s="3">
        <f t="shared" si="4"/>
        <v>0</v>
      </c>
      <c r="S23" s="3">
        <f t="shared" si="5"/>
        <v>-2</v>
      </c>
      <c r="T23" s="3"/>
    </row>
    <row r="24" spans="1:20" ht="15" customHeight="1" x14ac:dyDescent="0.35">
      <c r="A24" t="s">
        <v>1314</v>
      </c>
      <c r="B24" t="s">
        <v>1314</v>
      </c>
      <c r="C24">
        <v>0</v>
      </c>
      <c r="D24">
        <f t="shared" si="0"/>
        <v>0</v>
      </c>
      <c r="F24" s="3" t="s">
        <v>1315</v>
      </c>
      <c r="G24" s="3">
        <v>5</v>
      </c>
      <c r="H24" s="3">
        <v>7</v>
      </c>
      <c r="I24" s="3"/>
      <c r="J24" s="3">
        <v>3</v>
      </c>
      <c r="K24" s="3"/>
      <c r="L24" s="3"/>
      <c r="M24" s="3">
        <f t="shared" si="1"/>
        <v>22</v>
      </c>
      <c r="N24" s="3">
        <f t="shared" si="2"/>
        <v>4.4000000000000004</v>
      </c>
      <c r="O24" s="3">
        <f t="shared" si="6"/>
        <v>4.4000000000000004</v>
      </c>
      <c r="P24" s="3" t="s">
        <v>1316</v>
      </c>
      <c r="Q24" s="3">
        <f t="shared" si="3"/>
        <v>1</v>
      </c>
      <c r="R24" s="3">
        <f t="shared" si="4"/>
        <v>0</v>
      </c>
      <c r="S24" s="3">
        <f t="shared" si="5"/>
        <v>-1</v>
      </c>
      <c r="T24" s="3"/>
    </row>
    <row r="25" spans="1:20" ht="15" customHeight="1" x14ac:dyDescent="0.35">
      <c r="A25" t="s">
        <v>1317</v>
      </c>
      <c r="B25" t="s">
        <v>1317</v>
      </c>
      <c r="C25">
        <v>0</v>
      </c>
      <c r="D25">
        <f t="shared" si="0"/>
        <v>0</v>
      </c>
      <c r="F25" s="3" t="s">
        <v>1318</v>
      </c>
      <c r="G25" s="3">
        <v>6</v>
      </c>
      <c r="H25" s="3">
        <v>9</v>
      </c>
      <c r="I25" s="3"/>
      <c r="J25" s="3">
        <v>3</v>
      </c>
      <c r="K25" s="3"/>
      <c r="L25" s="3"/>
      <c r="M25" s="3">
        <f t="shared" si="1"/>
        <v>28</v>
      </c>
      <c r="N25" s="3">
        <f t="shared" si="2"/>
        <v>4.666666666666667</v>
      </c>
      <c r="O25" s="3">
        <f t="shared" si="6"/>
        <v>4.666666666666667</v>
      </c>
      <c r="P25" s="3" t="s">
        <v>1319</v>
      </c>
      <c r="Q25" s="3">
        <f t="shared" si="3"/>
        <v>1</v>
      </c>
      <c r="R25" s="3">
        <f t="shared" si="4"/>
        <v>0</v>
      </c>
      <c r="S25" s="3">
        <f t="shared" si="5"/>
        <v>-1</v>
      </c>
      <c r="T25" s="3"/>
    </row>
    <row r="26" spans="1:20" s="26" customFormat="1" ht="15" customHeight="1" x14ac:dyDescent="0.35">
      <c r="A26" t="s">
        <v>1320</v>
      </c>
      <c r="B26" t="s">
        <v>1320</v>
      </c>
      <c r="C26">
        <v>0</v>
      </c>
      <c r="D26">
        <f t="shared" si="0"/>
        <v>0</v>
      </c>
      <c r="E26"/>
      <c r="F26" s="3" t="s">
        <v>1301</v>
      </c>
      <c r="G26" s="3">
        <v>3</v>
      </c>
      <c r="H26" s="3">
        <v>4</v>
      </c>
      <c r="I26" s="3"/>
      <c r="J26" s="3">
        <v>7</v>
      </c>
      <c r="K26" s="3">
        <v>1</v>
      </c>
      <c r="L26" s="3"/>
      <c r="M26" s="3">
        <f t="shared" si="1"/>
        <v>10</v>
      </c>
      <c r="N26" s="3">
        <f t="shared" si="2"/>
        <v>3.3333333333333335</v>
      </c>
      <c r="O26" s="3">
        <f t="shared" si="6"/>
        <v>3.3333333333333335</v>
      </c>
      <c r="P26" s="3" t="s">
        <v>1321</v>
      </c>
      <c r="Q26" s="3">
        <f t="shared" si="3"/>
        <v>3</v>
      </c>
      <c r="R26" s="3">
        <f t="shared" si="4"/>
        <v>0</v>
      </c>
      <c r="S26" s="3">
        <f t="shared" si="5"/>
        <v>-3</v>
      </c>
      <c r="T26" s="3"/>
    </row>
    <row r="27" spans="1:20" s="26" customFormat="1" ht="15" customHeight="1" x14ac:dyDescent="0.35">
      <c r="A27" t="s">
        <v>1322</v>
      </c>
      <c r="B27" t="s">
        <v>1322</v>
      </c>
      <c r="C27">
        <v>0</v>
      </c>
      <c r="D27">
        <f t="shared" si="0"/>
        <v>0</v>
      </c>
      <c r="E27"/>
      <c r="F27" s="3" t="s">
        <v>1323</v>
      </c>
      <c r="G27" s="3">
        <v>7</v>
      </c>
      <c r="H27" s="3">
        <v>8</v>
      </c>
      <c r="I27" s="3"/>
      <c r="J27" s="3">
        <v>8</v>
      </c>
      <c r="K27" s="3">
        <v>1</v>
      </c>
      <c r="L27" s="3"/>
      <c r="M27" s="3">
        <f t="shared" si="1"/>
        <v>28</v>
      </c>
      <c r="N27" s="3">
        <f t="shared" si="2"/>
        <v>4</v>
      </c>
      <c r="O27" s="3">
        <f t="shared" si="6"/>
        <v>4</v>
      </c>
      <c r="P27" s="3" t="s">
        <v>1324</v>
      </c>
      <c r="Q27" s="3">
        <f t="shared" si="3"/>
        <v>3</v>
      </c>
      <c r="R27" s="3">
        <f t="shared" si="4"/>
        <v>0</v>
      </c>
      <c r="S27" s="3">
        <f t="shared" si="5"/>
        <v>-3</v>
      </c>
      <c r="T27" s="3"/>
    </row>
    <row r="28" spans="1:20" ht="15" customHeight="1" x14ac:dyDescent="0.25">
      <c r="A28" t="s">
        <v>1325</v>
      </c>
      <c r="B28" t="s">
        <v>1325</v>
      </c>
      <c r="C28">
        <v>0</v>
      </c>
      <c r="D28">
        <f t="shared" si="0"/>
        <v>0</v>
      </c>
      <c r="F28" s="3" t="s">
        <v>1326</v>
      </c>
      <c r="G28" s="3">
        <v>8</v>
      </c>
      <c r="H28" s="3">
        <v>7</v>
      </c>
      <c r="I28" s="3"/>
      <c r="J28" s="3">
        <v>3</v>
      </c>
      <c r="K28" s="3"/>
      <c r="L28" s="3"/>
      <c r="M28" s="3">
        <f t="shared" si="1"/>
        <v>34</v>
      </c>
      <c r="N28" s="3">
        <f t="shared" si="2"/>
        <v>4.25</v>
      </c>
      <c r="O28" s="3">
        <f t="shared" si="6"/>
        <v>4.25</v>
      </c>
      <c r="P28" t="s">
        <v>1327</v>
      </c>
      <c r="Q28" s="3">
        <f t="shared" si="3"/>
        <v>1</v>
      </c>
      <c r="R28" s="3">
        <f t="shared" si="4"/>
        <v>0</v>
      </c>
      <c r="S28" s="3">
        <f t="shared" si="5"/>
        <v>-1</v>
      </c>
      <c r="T28" s="3"/>
    </row>
    <row r="29" spans="1:20" ht="15" customHeight="1" x14ac:dyDescent="0.35">
      <c r="A29" t="s">
        <v>1328</v>
      </c>
      <c r="B29" t="s">
        <v>1328</v>
      </c>
      <c r="C29">
        <v>0</v>
      </c>
      <c r="D29">
        <f t="shared" si="0"/>
        <v>0</v>
      </c>
      <c r="F29" s="3" t="s">
        <v>1318</v>
      </c>
      <c r="G29" s="3">
        <v>6</v>
      </c>
      <c r="H29" s="3">
        <v>9</v>
      </c>
      <c r="I29" s="3"/>
      <c r="J29" s="3">
        <v>3</v>
      </c>
      <c r="K29" s="3"/>
      <c r="L29" s="3"/>
      <c r="M29" s="3">
        <f t="shared" si="1"/>
        <v>28</v>
      </c>
      <c r="N29" s="3">
        <f t="shared" si="2"/>
        <v>4.666666666666667</v>
      </c>
      <c r="O29" s="3">
        <f t="shared" si="6"/>
        <v>4.666666666666667</v>
      </c>
      <c r="P29" s="3" t="s">
        <v>1329</v>
      </c>
      <c r="Q29" s="3">
        <f t="shared" si="3"/>
        <v>1</v>
      </c>
      <c r="R29" s="3">
        <f t="shared" si="4"/>
        <v>0</v>
      </c>
      <c r="S29" s="3">
        <f t="shared" si="5"/>
        <v>-1</v>
      </c>
      <c r="T29" s="3"/>
    </row>
    <row r="30" spans="1:20" ht="15" customHeight="1" x14ac:dyDescent="0.35">
      <c r="A30" t="s">
        <v>1330</v>
      </c>
      <c r="B30" t="s">
        <v>1330</v>
      </c>
      <c r="C30">
        <v>0</v>
      </c>
      <c r="D30">
        <f t="shared" si="0"/>
        <v>0</v>
      </c>
      <c r="F30" s="3" t="s">
        <v>1331</v>
      </c>
      <c r="G30" s="3">
        <v>4</v>
      </c>
      <c r="H30" s="3">
        <v>6</v>
      </c>
      <c r="I30" s="3">
        <v>1</v>
      </c>
      <c r="J30" s="3">
        <v>7</v>
      </c>
      <c r="K30" s="3">
        <v>1</v>
      </c>
      <c r="L30" s="3"/>
      <c r="M30" s="3">
        <f t="shared" si="1"/>
        <v>12</v>
      </c>
      <c r="N30" s="3">
        <f t="shared" si="2"/>
        <v>3</v>
      </c>
      <c r="O30" s="3">
        <f t="shared" si="6"/>
        <v>3.75</v>
      </c>
      <c r="P30" s="3" t="s">
        <v>1332</v>
      </c>
      <c r="Q30" s="3">
        <f t="shared" si="3"/>
        <v>3</v>
      </c>
      <c r="R30" s="3">
        <f t="shared" si="4"/>
        <v>1</v>
      </c>
      <c r="S30" s="3">
        <f t="shared" si="5"/>
        <v>-2</v>
      </c>
      <c r="T30" s="3"/>
    </row>
    <row r="31" spans="1:20" ht="15" customHeight="1" x14ac:dyDescent="0.35">
      <c r="A31" t="s">
        <v>1333</v>
      </c>
      <c r="B31" t="s">
        <v>1333</v>
      </c>
      <c r="C31">
        <v>0</v>
      </c>
      <c r="D31">
        <f t="shared" si="0"/>
        <v>0</v>
      </c>
      <c r="F31" s="3" t="s">
        <v>1334</v>
      </c>
      <c r="G31" s="3">
        <v>20</v>
      </c>
      <c r="H31" s="3">
        <v>21</v>
      </c>
      <c r="I31" s="3">
        <v>7</v>
      </c>
      <c r="J31" s="3">
        <v>6</v>
      </c>
      <c r="K31" s="3"/>
      <c r="L31" s="3"/>
      <c r="M31" s="3">
        <f t="shared" si="1"/>
        <v>70</v>
      </c>
      <c r="N31" s="3">
        <f t="shared" si="2"/>
        <v>3.5</v>
      </c>
      <c r="O31" s="3">
        <f t="shared" si="6"/>
        <v>4.55</v>
      </c>
      <c r="P31" s="3" t="s">
        <v>1335</v>
      </c>
      <c r="Q31" s="3">
        <f t="shared" si="3"/>
        <v>2</v>
      </c>
      <c r="R31" s="3">
        <f t="shared" si="4"/>
        <v>0</v>
      </c>
      <c r="S31" s="3">
        <f t="shared" si="5"/>
        <v>-2</v>
      </c>
      <c r="T31" s="3"/>
    </row>
    <row r="32" spans="1:20" ht="15" customHeight="1" x14ac:dyDescent="0.35">
      <c r="A32" t="s">
        <v>1336</v>
      </c>
      <c r="B32" t="s">
        <v>1336</v>
      </c>
      <c r="C32">
        <v>0</v>
      </c>
      <c r="D32">
        <f t="shared" si="0"/>
        <v>0</v>
      </c>
      <c r="F32" s="3" t="s">
        <v>1337</v>
      </c>
      <c r="G32" s="3">
        <v>7</v>
      </c>
      <c r="H32" s="3">
        <v>9</v>
      </c>
      <c r="I32" s="3"/>
      <c r="J32" s="3">
        <v>6</v>
      </c>
      <c r="K32" s="3"/>
      <c r="L32" s="3"/>
      <c r="M32" s="3">
        <f t="shared" si="1"/>
        <v>26</v>
      </c>
      <c r="N32" s="3">
        <f t="shared" si="2"/>
        <v>3.7142857142857144</v>
      </c>
      <c r="O32" s="3">
        <f t="shared" si="6"/>
        <v>3.7142857142857144</v>
      </c>
      <c r="P32" s="3" t="s">
        <v>1338</v>
      </c>
      <c r="Q32" s="3">
        <f t="shared" si="3"/>
        <v>1</v>
      </c>
      <c r="R32" s="3">
        <f t="shared" si="4"/>
        <v>0</v>
      </c>
      <c r="S32" s="3">
        <f t="shared" si="5"/>
        <v>-1</v>
      </c>
      <c r="T32" s="3"/>
    </row>
    <row r="33" spans="1:20" ht="15" customHeight="1" x14ac:dyDescent="0.35">
      <c r="A33" t="s">
        <v>1630</v>
      </c>
      <c r="B33" t="s">
        <v>1630</v>
      </c>
      <c r="C33">
        <v>0</v>
      </c>
      <c r="D33">
        <f t="shared" si="0"/>
        <v>0</v>
      </c>
      <c r="F33" t="s">
        <v>1647</v>
      </c>
      <c r="G33" s="3">
        <v>20</v>
      </c>
      <c r="H33" s="3">
        <v>23</v>
      </c>
      <c r="I33" s="3">
        <v>7</v>
      </c>
      <c r="J33" s="3">
        <v>6</v>
      </c>
      <c r="K33" s="3"/>
      <c r="L33" s="3"/>
      <c r="M33" s="3">
        <f t="shared" si="1"/>
        <v>72</v>
      </c>
      <c r="N33" s="3">
        <f t="shared" si="2"/>
        <v>3.6</v>
      </c>
      <c r="O33" s="3">
        <f t="shared" si="6"/>
        <v>4.6500000000000004</v>
      </c>
      <c r="P33" t="s">
        <v>1648</v>
      </c>
      <c r="Q33" s="3">
        <f t="shared" si="3"/>
        <v>2</v>
      </c>
      <c r="R33" s="3">
        <f t="shared" si="4"/>
        <v>0</v>
      </c>
      <c r="S33" s="3">
        <f t="shared" si="5"/>
        <v>-2</v>
      </c>
      <c r="T33" s="3"/>
    </row>
    <row r="34" spans="1:20" ht="15" customHeight="1" x14ac:dyDescent="0.35">
      <c r="A34" t="s">
        <v>1339</v>
      </c>
      <c r="B34" t="s">
        <v>1339</v>
      </c>
      <c r="C34">
        <v>0</v>
      </c>
      <c r="D34">
        <f t="shared" si="0"/>
        <v>0</v>
      </c>
      <c r="F34" s="3" t="s">
        <v>1340</v>
      </c>
      <c r="G34" s="3">
        <v>10</v>
      </c>
      <c r="H34" s="3">
        <v>9</v>
      </c>
      <c r="I34" s="3"/>
      <c r="J34" s="3">
        <v>10</v>
      </c>
      <c r="K34" s="3">
        <v>1</v>
      </c>
      <c r="L34" s="3"/>
      <c r="M34" s="3">
        <f t="shared" si="1"/>
        <v>38</v>
      </c>
      <c r="N34" s="3">
        <f t="shared" si="2"/>
        <v>3.8</v>
      </c>
      <c r="O34" s="3">
        <f t="shared" si="6"/>
        <v>3.8</v>
      </c>
      <c r="P34" s="3" t="s">
        <v>1341</v>
      </c>
      <c r="Q34" s="3">
        <f t="shared" si="3"/>
        <v>4</v>
      </c>
      <c r="R34" s="3">
        <f t="shared" si="4"/>
        <v>0</v>
      </c>
      <c r="S34" s="3">
        <f t="shared" si="5"/>
        <v>-4</v>
      </c>
      <c r="T34" s="3"/>
    </row>
    <row r="35" spans="1:20" ht="15" customHeight="1" x14ac:dyDescent="0.35">
      <c r="A35" t="s">
        <v>1342</v>
      </c>
      <c r="B35" t="s">
        <v>1342</v>
      </c>
      <c r="C35">
        <v>0</v>
      </c>
      <c r="D35">
        <f t="shared" si="0"/>
        <v>0</v>
      </c>
      <c r="F35" s="3" t="s">
        <v>1343</v>
      </c>
      <c r="G35" s="3">
        <v>6</v>
      </c>
      <c r="H35" s="3">
        <v>10</v>
      </c>
      <c r="I35" s="3"/>
      <c r="J35" s="3">
        <v>7</v>
      </c>
      <c r="K35" s="3">
        <v>1</v>
      </c>
      <c r="L35" s="3"/>
      <c r="M35" s="3">
        <f t="shared" si="1"/>
        <v>28</v>
      </c>
      <c r="N35" s="3">
        <f t="shared" si="2"/>
        <v>4.666666666666667</v>
      </c>
      <c r="O35" s="3">
        <f t="shared" si="6"/>
        <v>4.666666666666667</v>
      </c>
      <c r="P35" s="3" t="s">
        <v>1344</v>
      </c>
      <c r="Q35" s="3">
        <f t="shared" si="3"/>
        <v>3</v>
      </c>
      <c r="R35" s="3">
        <f t="shared" si="4"/>
        <v>0</v>
      </c>
      <c r="S35" s="3">
        <f t="shared" si="5"/>
        <v>-3</v>
      </c>
      <c r="T35" s="3"/>
    </row>
    <row r="36" spans="1:20" ht="15" customHeight="1" x14ac:dyDescent="0.35">
      <c r="A36" t="s">
        <v>1345</v>
      </c>
      <c r="B36" t="s">
        <v>1345</v>
      </c>
      <c r="C36">
        <v>0</v>
      </c>
      <c r="D36">
        <f t="shared" si="0"/>
        <v>0</v>
      </c>
      <c r="F36" s="3" t="s">
        <v>1346</v>
      </c>
      <c r="G36" s="3">
        <v>5</v>
      </c>
      <c r="H36" s="3">
        <v>11</v>
      </c>
      <c r="I36" s="3">
        <v>1</v>
      </c>
      <c r="J36" s="3">
        <v>7</v>
      </c>
      <c r="K36" s="3">
        <v>1</v>
      </c>
      <c r="L36" s="3"/>
      <c r="M36" s="3">
        <f t="shared" si="1"/>
        <v>20</v>
      </c>
      <c r="N36" s="3">
        <f t="shared" si="2"/>
        <v>4</v>
      </c>
      <c r="O36" s="3">
        <f t="shared" si="6"/>
        <v>4.5999999999999996</v>
      </c>
      <c r="P36" s="3" t="s">
        <v>1347</v>
      </c>
      <c r="Q36" s="3">
        <f t="shared" si="3"/>
        <v>2</v>
      </c>
      <c r="R36" s="3">
        <f t="shared" si="4"/>
        <v>1</v>
      </c>
      <c r="S36" s="3">
        <f t="shared" si="5"/>
        <v>-1</v>
      </c>
      <c r="T36" s="3"/>
    </row>
    <row r="37" spans="1:20" ht="15" customHeight="1" x14ac:dyDescent="0.35">
      <c r="A37" t="s">
        <v>2111</v>
      </c>
      <c r="B37" t="s">
        <v>2111</v>
      </c>
      <c r="C37">
        <v>0</v>
      </c>
      <c r="D37">
        <f t="shared" si="0"/>
        <v>0</v>
      </c>
      <c r="F37" t="s">
        <v>2125</v>
      </c>
      <c r="G37" s="3">
        <v>9</v>
      </c>
      <c r="H37" s="3">
        <v>13</v>
      </c>
      <c r="I37">
        <v>5</v>
      </c>
      <c r="J37" s="3">
        <v>3</v>
      </c>
      <c r="M37" s="3">
        <f t="shared" si="1"/>
        <v>28</v>
      </c>
      <c r="N37" s="3">
        <f t="shared" si="2"/>
        <v>3.1111111111111112</v>
      </c>
      <c r="O37" s="3">
        <f t="shared" si="6"/>
        <v>4.7777777777777777</v>
      </c>
      <c r="P37" s="3" t="s">
        <v>2126</v>
      </c>
      <c r="Q37" s="3">
        <f t="shared" si="3"/>
        <v>0</v>
      </c>
      <c r="R37" s="3">
        <f t="shared" si="4"/>
        <v>0</v>
      </c>
      <c r="S37" s="3">
        <f t="shared" si="5"/>
        <v>0</v>
      </c>
    </row>
    <row r="38" spans="1:20" ht="15" customHeight="1" x14ac:dyDescent="0.35">
      <c r="A38" t="s">
        <v>1348</v>
      </c>
      <c r="B38" t="s">
        <v>1348</v>
      </c>
      <c r="C38">
        <v>0</v>
      </c>
      <c r="D38">
        <f t="shared" si="0"/>
        <v>0</v>
      </c>
      <c r="F38" s="3" t="s">
        <v>1349</v>
      </c>
      <c r="G38" s="3">
        <v>6</v>
      </c>
      <c r="H38" s="3">
        <v>10</v>
      </c>
      <c r="I38" s="3"/>
      <c r="J38" s="3">
        <v>10</v>
      </c>
      <c r="K38" s="3">
        <v>1</v>
      </c>
      <c r="L38" s="3"/>
      <c r="M38" s="3">
        <f t="shared" si="1"/>
        <v>22</v>
      </c>
      <c r="N38" s="3">
        <f t="shared" si="2"/>
        <v>3.6666666666666665</v>
      </c>
      <c r="O38" s="3">
        <f t="shared" si="6"/>
        <v>3.6666666666666665</v>
      </c>
      <c r="P38" s="3" t="s">
        <v>1350</v>
      </c>
      <c r="Q38" s="3">
        <f t="shared" si="3"/>
        <v>3</v>
      </c>
      <c r="R38" s="3">
        <f t="shared" si="4"/>
        <v>0</v>
      </c>
      <c r="S38" s="3">
        <f t="shared" si="5"/>
        <v>-3</v>
      </c>
      <c r="T38" s="3"/>
    </row>
    <row r="39" spans="1:20" ht="15" customHeight="1" x14ac:dyDescent="0.35">
      <c r="A39" t="s">
        <v>1351</v>
      </c>
      <c r="B39" t="s">
        <v>1351</v>
      </c>
      <c r="C39">
        <v>0</v>
      </c>
      <c r="D39">
        <f t="shared" si="0"/>
        <v>0</v>
      </c>
      <c r="F39" s="3" t="s">
        <v>1352</v>
      </c>
      <c r="G39" s="3">
        <v>2</v>
      </c>
      <c r="H39" s="3">
        <v>3</v>
      </c>
      <c r="I39" s="3"/>
      <c r="J39" s="3">
        <v>2</v>
      </c>
      <c r="K39" s="3"/>
      <c r="L39" s="3"/>
      <c r="M39" s="3">
        <f t="shared" si="1"/>
        <v>8</v>
      </c>
      <c r="N39" s="3">
        <f t="shared" si="2"/>
        <v>4</v>
      </c>
      <c r="O39" s="3">
        <f t="shared" si="6"/>
        <v>4</v>
      </c>
      <c r="P39" s="3" t="s">
        <v>1353</v>
      </c>
      <c r="Q39" s="3">
        <f t="shared" si="3"/>
        <v>1</v>
      </c>
      <c r="R39" s="3">
        <f t="shared" si="4"/>
        <v>0</v>
      </c>
      <c r="S39" s="3">
        <f t="shared" si="5"/>
        <v>-1</v>
      </c>
      <c r="T39" s="3"/>
    </row>
    <row r="40" spans="1:20" s="40" customFormat="1" ht="15" customHeight="1" x14ac:dyDescent="0.35">
      <c r="A40" s="40" t="s">
        <v>1907</v>
      </c>
      <c r="B40" s="40" t="s">
        <v>1631</v>
      </c>
      <c r="C40" s="40">
        <v>0</v>
      </c>
      <c r="D40" s="40">
        <f t="shared" si="0"/>
        <v>1</v>
      </c>
      <c r="F40" s="40" t="s">
        <v>1352</v>
      </c>
      <c r="G40" s="40">
        <v>2</v>
      </c>
      <c r="H40" s="40">
        <v>3</v>
      </c>
      <c r="J40" s="40">
        <v>2</v>
      </c>
      <c r="M40" s="40">
        <f t="shared" si="1"/>
        <v>8</v>
      </c>
      <c r="N40" s="40">
        <f t="shared" si="2"/>
        <v>4</v>
      </c>
      <c r="O40" s="40">
        <f t="shared" si="6"/>
        <v>4</v>
      </c>
      <c r="P40" s="40" t="s">
        <v>1353</v>
      </c>
      <c r="Q40" s="40">
        <f t="shared" si="3"/>
        <v>1</v>
      </c>
      <c r="R40" s="40">
        <f t="shared" si="4"/>
        <v>0</v>
      </c>
      <c r="S40" s="40">
        <f t="shared" si="5"/>
        <v>-1</v>
      </c>
    </row>
    <row r="41" spans="1:20" ht="15" customHeight="1" x14ac:dyDescent="0.35">
      <c r="A41" t="s">
        <v>1354</v>
      </c>
      <c r="B41" t="s">
        <v>1354</v>
      </c>
      <c r="C41">
        <v>0</v>
      </c>
      <c r="D41">
        <f t="shared" si="0"/>
        <v>0</v>
      </c>
      <c r="F41" s="3" t="s">
        <v>1355</v>
      </c>
      <c r="G41" s="3">
        <v>25</v>
      </c>
      <c r="H41" s="3">
        <v>36</v>
      </c>
      <c r="I41" s="3">
        <v>7</v>
      </c>
      <c r="J41" s="3">
        <v>18</v>
      </c>
      <c r="K41" s="3">
        <v>3</v>
      </c>
      <c r="L41" s="3">
        <v>1</v>
      </c>
      <c r="M41" s="3">
        <f t="shared" si="1"/>
        <v>96</v>
      </c>
      <c r="N41" s="3">
        <f t="shared" si="2"/>
        <v>3.84</v>
      </c>
      <c r="O41" s="3">
        <f t="shared" si="6"/>
        <v>4.68</v>
      </c>
      <c r="P41" s="3" t="s">
        <v>1356</v>
      </c>
      <c r="Q41" s="3">
        <f t="shared" si="3"/>
        <v>4</v>
      </c>
      <c r="R41" s="3">
        <f t="shared" si="4"/>
        <v>0</v>
      </c>
      <c r="S41" s="3">
        <f t="shared" si="5"/>
        <v>-4</v>
      </c>
      <c r="T41" s="3"/>
    </row>
    <row r="42" spans="1:20" ht="15" customHeight="1" x14ac:dyDescent="0.35">
      <c r="A42" t="s">
        <v>1357</v>
      </c>
      <c r="B42" t="s">
        <v>1357</v>
      </c>
      <c r="C42">
        <v>0</v>
      </c>
      <c r="D42">
        <f t="shared" si="0"/>
        <v>0</v>
      </c>
      <c r="F42" s="3" t="s">
        <v>1358</v>
      </c>
      <c r="G42" s="3">
        <v>23</v>
      </c>
      <c r="H42" s="3">
        <v>34</v>
      </c>
      <c r="I42" s="3">
        <v>7</v>
      </c>
      <c r="J42" s="3">
        <v>17</v>
      </c>
      <c r="K42" s="3">
        <v>3</v>
      </c>
      <c r="L42" s="3">
        <v>1</v>
      </c>
      <c r="M42" s="3">
        <f t="shared" si="1"/>
        <v>88</v>
      </c>
      <c r="N42" s="3">
        <f t="shared" si="2"/>
        <v>3.8260869565217392</v>
      </c>
      <c r="O42" s="3">
        <f t="shared" si="6"/>
        <v>4.7391304347826084</v>
      </c>
      <c r="P42" s="3" t="s">
        <v>1359</v>
      </c>
      <c r="Q42" s="3">
        <f t="shared" si="3"/>
        <v>4</v>
      </c>
      <c r="R42" s="3">
        <f t="shared" si="4"/>
        <v>0</v>
      </c>
      <c r="S42" s="3">
        <f t="shared" si="5"/>
        <v>-4</v>
      </c>
      <c r="T42" s="3"/>
    </row>
    <row r="43" spans="1:20" ht="15" customHeight="1" x14ac:dyDescent="0.35">
      <c r="A43" t="s">
        <v>1360</v>
      </c>
      <c r="B43" t="s">
        <v>1360</v>
      </c>
      <c r="C43">
        <v>0</v>
      </c>
      <c r="D43">
        <f t="shared" si="0"/>
        <v>0</v>
      </c>
      <c r="F43" s="3" t="s">
        <v>1361</v>
      </c>
      <c r="G43" s="3">
        <v>14</v>
      </c>
      <c r="H43" s="3">
        <v>14</v>
      </c>
      <c r="I43" s="3">
        <v>5</v>
      </c>
      <c r="J43" s="3">
        <v>11</v>
      </c>
      <c r="K43" s="3">
        <v>1</v>
      </c>
      <c r="L43" s="3"/>
      <c r="M43" s="3">
        <f t="shared" si="1"/>
        <v>42</v>
      </c>
      <c r="N43" s="3">
        <f t="shared" si="2"/>
        <v>3</v>
      </c>
      <c r="O43" s="3">
        <f t="shared" si="6"/>
        <v>4.0714285714285712</v>
      </c>
      <c r="P43" s="3" t="s">
        <v>1362</v>
      </c>
      <c r="Q43" s="3">
        <f t="shared" si="3"/>
        <v>4</v>
      </c>
      <c r="R43" s="3">
        <f t="shared" si="4"/>
        <v>0</v>
      </c>
      <c r="S43" s="3">
        <f t="shared" si="5"/>
        <v>-4</v>
      </c>
      <c r="T43" s="3"/>
    </row>
    <row r="44" spans="1:20" ht="15" customHeight="1" x14ac:dyDescent="0.35">
      <c r="A44" t="s">
        <v>1363</v>
      </c>
      <c r="B44" t="s">
        <v>1363</v>
      </c>
      <c r="C44">
        <v>0</v>
      </c>
      <c r="D44">
        <f t="shared" si="0"/>
        <v>0</v>
      </c>
      <c r="F44" s="3" t="s">
        <v>1364</v>
      </c>
      <c r="G44" s="3">
        <v>10</v>
      </c>
      <c r="H44" s="3">
        <v>12</v>
      </c>
      <c r="I44" s="3">
        <v>5</v>
      </c>
      <c r="J44" s="3">
        <v>10</v>
      </c>
      <c r="K44" s="3">
        <v>2</v>
      </c>
      <c r="L44" s="3"/>
      <c r="M44" s="3">
        <f t="shared" si="1"/>
        <v>30</v>
      </c>
      <c r="N44" s="3">
        <f t="shared" si="2"/>
        <v>3</v>
      </c>
      <c r="O44" s="3">
        <f t="shared" si="6"/>
        <v>4.5</v>
      </c>
      <c r="P44" s="3" t="s">
        <v>1365</v>
      </c>
      <c r="Q44" s="3">
        <f t="shared" si="3"/>
        <v>3</v>
      </c>
      <c r="R44" s="3">
        <f t="shared" si="4"/>
        <v>0</v>
      </c>
      <c r="S44" s="3">
        <f t="shared" si="5"/>
        <v>-3</v>
      </c>
      <c r="T44" s="3"/>
    </row>
    <row r="45" spans="1:20" ht="15" customHeight="1" x14ac:dyDescent="0.35">
      <c r="A45" t="s">
        <v>1366</v>
      </c>
      <c r="B45" t="s">
        <v>1366</v>
      </c>
      <c r="C45">
        <v>0</v>
      </c>
      <c r="D45">
        <f t="shared" si="0"/>
        <v>0</v>
      </c>
      <c r="F45" s="3" t="s">
        <v>1367</v>
      </c>
      <c r="G45" s="3">
        <v>9</v>
      </c>
      <c r="H45" s="3">
        <v>13</v>
      </c>
      <c r="I45" s="3">
        <v>4</v>
      </c>
      <c r="J45" s="3">
        <v>8</v>
      </c>
      <c r="K45" s="3">
        <v>1</v>
      </c>
      <c r="L45" s="3"/>
      <c r="M45" s="3">
        <f t="shared" si="1"/>
        <v>28</v>
      </c>
      <c r="N45" s="3">
        <f t="shared" si="2"/>
        <v>3.1111111111111112</v>
      </c>
      <c r="O45" s="3">
        <f t="shared" si="6"/>
        <v>4.4444444444444446</v>
      </c>
      <c r="P45" s="3" t="s">
        <v>1368</v>
      </c>
      <c r="Q45" s="3">
        <f t="shared" si="3"/>
        <v>2</v>
      </c>
      <c r="R45" s="3">
        <f t="shared" si="4"/>
        <v>0</v>
      </c>
      <c r="S45" s="3">
        <f t="shared" si="5"/>
        <v>-2</v>
      </c>
      <c r="T45" s="3"/>
    </row>
    <row r="46" spans="1:20" ht="15" customHeight="1" x14ac:dyDescent="0.35">
      <c r="A46" t="s">
        <v>1369</v>
      </c>
      <c r="B46" t="s">
        <v>1369</v>
      </c>
      <c r="C46">
        <v>0</v>
      </c>
      <c r="D46">
        <f t="shared" si="0"/>
        <v>0</v>
      </c>
      <c r="F46" s="3" t="s">
        <v>1370</v>
      </c>
      <c r="G46" s="3">
        <v>8</v>
      </c>
      <c r="H46" s="3">
        <v>13</v>
      </c>
      <c r="I46" s="3">
        <v>3</v>
      </c>
      <c r="J46" s="3">
        <v>7</v>
      </c>
      <c r="K46" s="3">
        <v>1</v>
      </c>
      <c r="L46" s="3"/>
      <c r="M46" s="3">
        <f t="shared" si="1"/>
        <v>28</v>
      </c>
      <c r="N46" s="3">
        <f t="shared" si="2"/>
        <v>3.5</v>
      </c>
      <c r="O46" s="3">
        <f t="shared" si="6"/>
        <v>4.625</v>
      </c>
      <c r="P46" s="3" t="s">
        <v>1371</v>
      </c>
      <c r="Q46" s="3">
        <f t="shared" si="3"/>
        <v>2</v>
      </c>
      <c r="R46" s="3">
        <f t="shared" si="4"/>
        <v>1</v>
      </c>
      <c r="S46" s="3">
        <f t="shared" si="5"/>
        <v>-1</v>
      </c>
      <c r="T46" s="3"/>
    </row>
    <row r="47" spans="1:20" ht="15" customHeight="1" x14ac:dyDescent="0.35">
      <c r="A47" t="s">
        <v>1374</v>
      </c>
      <c r="B47" t="s">
        <v>1374</v>
      </c>
      <c r="C47">
        <v>0</v>
      </c>
      <c r="D47">
        <f t="shared" si="0"/>
        <v>0</v>
      </c>
      <c r="F47" s="3" t="s">
        <v>1375</v>
      </c>
      <c r="G47" s="3">
        <v>5</v>
      </c>
      <c r="H47" s="3">
        <v>7</v>
      </c>
      <c r="I47" s="3"/>
      <c r="J47" s="3">
        <v>4</v>
      </c>
      <c r="K47" s="3"/>
      <c r="L47" s="3"/>
      <c r="M47" s="3">
        <f t="shared" si="1"/>
        <v>20</v>
      </c>
      <c r="N47" s="3">
        <f t="shared" si="2"/>
        <v>4</v>
      </c>
      <c r="O47" s="3">
        <f t="shared" si="6"/>
        <v>4</v>
      </c>
      <c r="P47" s="3" t="s">
        <v>1376</v>
      </c>
      <c r="Q47" s="3">
        <f t="shared" si="3"/>
        <v>1</v>
      </c>
      <c r="R47" s="3">
        <f t="shared" si="4"/>
        <v>0</v>
      </c>
      <c r="S47" s="3">
        <f t="shared" si="5"/>
        <v>-1</v>
      </c>
      <c r="T47" s="3"/>
    </row>
    <row r="48" spans="1:20" ht="15" customHeight="1" x14ac:dyDescent="0.35">
      <c r="A48" t="s">
        <v>1377</v>
      </c>
      <c r="B48" t="s">
        <v>1377</v>
      </c>
      <c r="C48">
        <v>0</v>
      </c>
      <c r="D48">
        <f t="shared" si="0"/>
        <v>0</v>
      </c>
      <c r="F48" s="3" t="s">
        <v>1378</v>
      </c>
      <c r="G48" s="3">
        <v>10</v>
      </c>
      <c r="H48" s="3">
        <v>12</v>
      </c>
      <c r="I48" s="3">
        <v>5</v>
      </c>
      <c r="J48" s="3">
        <v>7</v>
      </c>
      <c r="K48" s="3">
        <v>1</v>
      </c>
      <c r="L48" s="3"/>
      <c r="M48" s="3">
        <f t="shared" si="1"/>
        <v>30</v>
      </c>
      <c r="N48" s="3">
        <f t="shared" si="2"/>
        <v>3</v>
      </c>
      <c r="O48" s="3">
        <f t="shared" si="6"/>
        <v>4.5</v>
      </c>
      <c r="P48" s="3" t="s">
        <v>1379</v>
      </c>
      <c r="Q48" s="3">
        <f t="shared" si="3"/>
        <v>2</v>
      </c>
      <c r="R48" s="3">
        <f t="shared" si="4"/>
        <v>0</v>
      </c>
      <c r="S48" s="3">
        <f t="shared" si="5"/>
        <v>-2</v>
      </c>
      <c r="T48" s="3"/>
    </row>
    <row r="49" spans="1:20" ht="15" customHeight="1" x14ac:dyDescent="0.25">
      <c r="A49" t="s">
        <v>2002</v>
      </c>
      <c r="B49" t="s">
        <v>2002</v>
      </c>
      <c r="C49">
        <v>0</v>
      </c>
      <c r="D49">
        <f t="shared" si="0"/>
        <v>0</v>
      </c>
      <c r="F49" s="3" t="s">
        <v>2003</v>
      </c>
      <c r="G49" s="3">
        <v>10</v>
      </c>
      <c r="H49" s="3">
        <v>12</v>
      </c>
      <c r="I49" s="3">
        <v>5</v>
      </c>
      <c r="J49" s="3">
        <v>7</v>
      </c>
      <c r="K49" s="3">
        <v>1</v>
      </c>
      <c r="L49" s="3"/>
      <c r="M49" s="3">
        <v>30</v>
      </c>
      <c r="N49" s="3">
        <v>3</v>
      </c>
      <c r="O49" s="3">
        <f t="shared" si="6"/>
        <v>4.5</v>
      </c>
      <c r="P49" s="3" t="s">
        <v>1379</v>
      </c>
      <c r="Q49" s="3">
        <v>2</v>
      </c>
      <c r="R49" s="3">
        <v>0</v>
      </c>
      <c r="S49" s="3">
        <v>-2</v>
      </c>
      <c r="T49" s="3"/>
    </row>
    <row r="50" spans="1:20" s="40" customFormat="1" ht="15" customHeight="1" x14ac:dyDescent="0.35">
      <c r="A50" s="40" t="s">
        <v>1919</v>
      </c>
      <c r="B50" s="40" t="s">
        <v>1919</v>
      </c>
      <c r="C50" s="40">
        <v>0</v>
      </c>
      <c r="D50" s="40">
        <f t="shared" si="0"/>
        <v>0</v>
      </c>
      <c r="F50" s="40" t="s">
        <v>1378</v>
      </c>
      <c r="G50" s="40">
        <v>10</v>
      </c>
      <c r="H50" s="40">
        <v>12</v>
      </c>
      <c r="I50" s="40">
        <v>5</v>
      </c>
      <c r="J50" s="40">
        <v>7</v>
      </c>
      <c r="K50" s="40">
        <v>1</v>
      </c>
      <c r="M50" s="40">
        <f t="shared" ref="M50:M57" si="7">IF(G50=0,N50,N50*G50)</f>
        <v>30</v>
      </c>
      <c r="N50" s="40">
        <f t="shared" ref="N50:N62" si="8">IF(G50=0,(4*G50+H50-2*J50-3*I50+5*K50-2*L50-S50),(4*G50+H50-2*J50-3*I50+5*K50-2*L50-S50)/G50)</f>
        <v>3</v>
      </c>
      <c r="O50" s="40">
        <f t="shared" si="6"/>
        <v>4.5</v>
      </c>
      <c r="P50" s="40" t="s">
        <v>1379</v>
      </c>
      <c r="Q50" s="40">
        <f t="shared" ref="Q50:Q62" si="9">SUM(LEN($P50)-LEN(SUBSTITUTE($P50,"-","")))/LEN("-")</f>
        <v>2</v>
      </c>
      <c r="R50" s="40">
        <f t="shared" ref="R50:R62" si="10">SUM(LEN($P50)-LEN(SUBSTITUTE($P50,"+","")))/LEN("+")</f>
        <v>0</v>
      </c>
      <c r="S50" s="40">
        <f>R50-Q50</f>
        <v>-2</v>
      </c>
    </row>
    <row r="51" spans="1:20" ht="15" customHeight="1" x14ac:dyDescent="0.35">
      <c r="A51" t="s">
        <v>1380</v>
      </c>
      <c r="B51" t="s">
        <v>1380</v>
      </c>
      <c r="C51">
        <v>0</v>
      </c>
      <c r="D51">
        <f t="shared" si="0"/>
        <v>0</v>
      </c>
      <c r="F51" s="3" t="s">
        <v>1381</v>
      </c>
      <c r="G51" s="3">
        <v>7</v>
      </c>
      <c r="H51" s="3">
        <v>6</v>
      </c>
      <c r="I51" s="3">
        <v>1</v>
      </c>
      <c r="J51" s="3">
        <v>2</v>
      </c>
      <c r="K51" s="3"/>
      <c r="L51" s="3"/>
      <c r="M51" s="3">
        <f t="shared" si="7"/>
        <v>28</v>
      </c>
      <c r="N51" s="3">
        <f t="shared" si="8"/>
        <v>4</v>
      </c>
      <c r="O51" s="3">
        <f t="shared" si="6"/>
        <v>4.4285714285714288</v>
      </c>
      <c r="P51" s="3" t="s">
        <v>1382</v>
      </c>
      <c r="Q51" s="3">
        <f t="shared" si="9"/>
        <v>1</v>
      </c>
      <c r="R51" s="3">
        <f t="shared" si="10"/>
        <v>0</v>
      </c>
      <c r="S51" s="3">
        <f>R51-Q51</f>
        <v>-1</v>
      </c>
      <c r="T51" s="3"/>
    </row>
    <row r="52" spans="1:20" ht="15" customHeight="1" x14ac:dyDescent="0.35">
      <c r="A52" t="s">
        <v>1387</v>
      </c>
      <c r="B52" t="s">
        <v>1387</v>
      </c>
      <c r="C52">
        <v>0</v>
      </c>
      <c r="D52">
        <f t="shared" si="0"/>
        <v>0</v>
      </c>
      <c r="F52" s="3" t="s">
        <v>1388</v>
      </c>
      <c r="G52" s="3">
        <v>10</v>
      </c>
      <c r="H52" s="3">
        <v>12</v>
      </c>
      <c r="I52" s="3">
        <v>5</v>
      </c>
      <c r="J52" s="3">
        <v>13</v>
      </c>
      <c r="K52" s="3">
        <v>3</v>
      </c>
      <c r="L52" s="3"/>
      <c r="M52" s="3">
        <f t="shared" si="7"/>
        <v>30</v>
      </c>
      <c r="N52" s="3">
        <f t="shared" si="8"/>
        <v>3</v>
      </c>
      <c r="O52" s="3">
        <f t="shared" si="6"/>
        <v>4.5</v>
      </c>
      <c r="P52" s="3" t="s">
        <v>1389</v>
      </c>
      <c r="Q52" s="3">
        <f t="shared" si="9"/>
        <v>4</v>
      </c>
      <c r="R52" s="3">
        <f t="shared" si="10"/>
        <v>0</v>
      </c>
      <c r="S52" s="3">
        <f>R52-Q52</f>
        <v>-4</v>
      </c>
      <c r="T52" s="3"/>
    </row>
    <row r="53" spans="1:20" ht="15" customHeight="1" x14ac:dyDescent="0.25">
      <c r="A53" t="s">
        <v>1390</v>
      </c>
      <c r="B53" t="s">
        <v>1390</v>
      </c>
      <c r="C53">
        <v>0</v>
      </c>
      <c r="D53">
        <f t="shared" si="0"/>
        <v>0</v>
      </c>
      <c r="F53" s="3"/>
      <c r="G53" s="3">
        <v>28</v>
      </c>
      <c r="H53" s="3">
        <v>47</v>
      </c>
      <c r="I53" s="3">
        <v>0</v>
      </c>
      <c r="J53" s="3">
        <v>6</v>
      </c>
      <c r="K53" s="3">
        <v>1</v>
      </c>
      <c r="L53" s="3">
        <v>0</v>
      </c>
      <c r="M53" s="3">
        <f t="shared" si="7"/>
        <v>154</v>
      </c>
      <c r="N53" s="3">
        <f t="shared" si="8"/>
        <v>5.5</v>
      </c>
      <c r="O53" s="3">
        <f t="shared" si="6"/>
        <v>5.5</v>
      </c>
      <c r="P53" s="3">
        <v>-2</v>
      </c>
      <c r="Q53" s="3">
        <f t="shared" si="9"/>
        <v>1</v>
      </c>
      <c r="R53" s="3">
        <f t="shared" si="10"/>
        <v>0</v>
      </c>
      <c r="S53" s="3">
        <v>-2</v>
      </c>
      <c r="T53" s="3"/>
    </row>
    <row r="54" spans="1:20" ht="15" customHeight="1" x14ac:dyDescent="0.25">
      <c r="A54" t="s">
        <v>1391</v>
      </c>
      <c r="B54" t="s">
        <v>1391</v>
      </c>
      <c r="C54">
        <v>0</v>
      </c>
      <c r="D54">
        <f t="shared" si="0"/>
        <v>0</v>
      </c>
      <c r="F54" s="3"/>
      <c r="G54" s="3">
        <v>53</v>
      </c>
      <c r="H54" s="3">
        <v>87</v>
      </c>
      <c r="I54" s="3">
        <v>0</v>
      </c>
      <c r="J54" s="3">
        <v>6</v>
      </c>
      <c r="K54" s="3">
        <v>1</v>
      </c>
      <c r="L54" s="3">
        <v>0</v>
      </c>
      <c r="M54" s="3">
        <f t="shared" si="7"/>
        <v>294</v>
      </c>
      <c r="N54" s="3">
        <f t="shared" si="8"/>
        <v>5.5471698113207548</v>
      </c>
      <c r="O54" s="3">
        <f t="shared" si="6"/>
        <v>5.5471698113207548</v>
      </c>
      <c r="P54" s="3"/>
      <c r="Q54" s="3">
        <f t="shared" si="9"/>
        <v>0</v>
      </c>
      <c r="R54" s="3">
        <f t="shared" si="10"/>
        <v>0</v>
      </c>
      <c r="S54" s="3">
        <v>-2</v>
      </c>
      <c r="T54" s="3"/>
    </row>
    <row r="55" spans="1:20" ht="15" customHeight="1" x14ac:dyDescent="0.35">
      <c r="A55" t="s">
        <v>1392</v>
      </c>
      <c r="B55" t="s">
        <v>1392</v>
      </c>
      <c r="C55">
        <v>0</v>
      </c>
      <c r="D55">
        <f t="shared" si="0"/>
        <v>0</v>
      </c>
      <c r="F55" s="3" t="s">
        <v>1393</v>
      </c>
      <c r="G55" s="3">
        <v>9</v>
      </c>
      <c r="H55" s="3">
        <v>11</v>
      </c>
      <c r="I55" s="3">
        <v>3</v>
      </c>
      <c r="J55" s="3">
        <v>9</v>
      </c>
      <c r="K55" s="3">
        <v>1</v>
      </c>
      <c r="L55" s="3"/>
      <c r="M55" s="3">
        <f t="shared" si="7"/>
        <v>28</v>
      </c>
      <c r="N55" s="3">
        <f t="shared" si="8"/>
        <v>3.1111111111111112</v>
      </c>
      <c r="O55" s="3">
        <f t="shared" si="6"/>
        <v>4.1111111111111107</v>
      </c>
      <c r="P55" s="3" t="s">
        <v>1394</v>
      </c>
      <c r="Q55" s="3">
        <f t="shared" si="9"/>
        <v>3</v>
      </c>
      <c r="R55" s="3">
        <f t="shared" si="10"/>
        <v>0</v>
      </c>
      <c r="S55" s="3">
        <f t="shared" ref="S55:S62" si="11">R55-Q55</f>
        <v>-3</v>
      </c>
      <c r="T55" s="3"/>
    </row>
    <row r="56" spans="1:20" ht="15" customHeight="1" x14ac:dyDescent="0.25">
      <c r="A56" t="s">
        <v>2109</v>
      </c>
      <c r="B56" t="s">
        <v>2109</v>
      </c>
      <c r="C56">
        <v>0</v>
      </c>
      <c r="D56">
        <f t="shared" si="0"/>
        <v>0</v>
      </c>
      <c r="G56">
        <v>86</v>
      </c>
      <c r="H56">
        <v>170</v>
      </c>
      <c r="J56">
        <v>12</v>
      </c>
      <c r="K56">
        <v>2</v>
      </c>
      <c r="M56" s="3">
        <f t="shared" si="7"/>
        <v>504</v>
      </c>
      <c r="N56" s="3">
        <f t="shared" si="8"/>
        <v>5.8604651162790695</v>
      </c>
      <c r="O56" s="3">
        <f t="shared" si="6"/>
        <v>5.8604651162790695</v>
      </c>
      <c r="P56" s="35" t="s">
        <v>2149</v>
      </c>
      <c r="Q56" s="3">
        <f t="shared" si="9"/>
        <v>4</v>
      </c>
      <c r="R56" s="3">
        <f t="shared" si="10"/>
        <v>0</v>
      </c>
      <c r="S56" s="3">
        <f t="shared" si="11"/>
        <v>-4</v>
      </c>
    </row>
    <row r="57" spans="1:20" ht="15" customHeight="1" x14ac:dyDescent="0.35">
      <c r="A57" t="s">
        <v>1395</v>
      </c>
      <c r="B57" t="s">
        <v>1395</v>
      </c>
      <c r="C57">
        <v>0</v>
      </c>
      <c r="D57">
        <f t="shared" si="0"/>
        <v>0</v>
      </c>
      <c r="F57" s="3" t="s">
        <v>1396</v>
      </c>
      <c r="G57" s="3">
        <v>1</v>
      </c>
      <c r="H57" s="3">
        <v>2</v>
      </c>
      <c r="I57" s="3">
        <v>1</v>
      </c>
      <c r="J57" s="3">
        <v>5</v>
      </c>
      <c r="K57" s="3">
        <v>1</v>
      </c>
      <c r="L57" s="3"/>
      <c r="M57" s="3">
        <f t="shared" si="7"/>
        <v>0</v>
      </c>
      <c r="N57" s="3">
        <f t="shared" si="8"/>
        <v>0</v>
      </c>
      <c r="O57" s="3">
        <f t="shared" si="6"/>
        <v>3</v>
      </c>
      <c r="P57" s="3" t="s">
        <v>1397</v>
      </c>
      <c r="Q57" s="3">
        <f t="shared" si="9"/>
        <v>2</v>
      </c>
      <c r="R57" s="3">
        <f t="shared" si="10"/>
        <v>0</v>
      </c>
      <c r="S57" s="3">
        <f t="shared" si="11"/>
        <v>-2</v>
      </c>
      <c r="T57" s="3"/>
    </row>
    <row r="58" spans="1:20" ht="15" customHeight="1" x14ac:dyDescent="0.35">
      <c r="A58" t="s">
        <v>1400</v>
      </c>
      <c r="B58" t="s">
        <v>1400</v>
      </c>
      <c r="C58">
        <v>0</v>
      </c>
      <c r="D58">
        <f t="shared" si="0"/>
        <v>0</v>
      </c>
      <c r="F58" s="3" t="s">
        <v>1401</v>
      </c>
      <c r="G58" s="3">
        <v>12</v>
      </c>
      <c r="H58" s="3">
        <v>22</v>
      </c>
      <c r="I58" s="3"/>
      <c r="J58" s="3">
        <v>11</v>
      </c>
      <c r="K58" s="3"/>
      <c r="L58" s="3"/>
      <c r="M58" s="13">
        <f>(4*G58)+(H58)+(-2*J58)</f>
        <v>48</v>
      </c>
      <c r="N58" s="3">
        <f t="shared" si="8"/>
        <v>4</v>
      </c>
      <c r="O58" s="3">
        <f t="shared" si="6"/>
        <v>4</v>
      </c>
      <c r="P58" s="3" t="s">
        <v>1402</v>
      </c>
      <c r="Q58" s="3">
        <f t="shared" si="9"/>
        <v>0</v>
      </c>
      <c r="R58" s="3">
        <f t="shared" si="10"/>
        <v>0</v>
      </c>
      <c r="S58" s="3">
        <f t="shared" si="11"/>
        <v>0</v>
      </c>
      <c r="T58" s="3"/>
    </row>
    <row r="59" spans="1:20" s="40" customFormat="1" ht="15" customHeight="1" x14ac:dyDescent="0.35">
      <c r="A59" s="40" t="s">
        <v>1403</v>
      </c>
      <c r="B59" s="40" t="s">
        <v>1403</v>
      </c>
      <c r="C59" s="40">
        <v>0</v>
      </c>
      <c r="D59" s="40">
        <f t="shared" si="0"/>
        <v>0</v>
      </c>
      <c r="F59" s="40" t="s">
        <v>1401</v>
      </c>
      <c r="G59" s="40">
        <v>12</v>
      </c>
      <c r="H59" s="40">
        <v>22</v>
      </c>
      <c r="J59" s="40">
        <v>11</v>
      </c>
      <c r="M59" s="41">
        <f>(4*G59)+(H59)+(-2*J59)</f>
        <v>48</v>
      </c>
      <c r="N59" s="40">
        <f t="shared" si="8"/>
        <v>4</v>
      </c>
      <c r="O59" s="40">
        <f t="shared" si="6"/>
        <v>4</v>
      </c>
      <c r="P59" s="40" t="s">
        <v>1402</v>
      </c>
      <c r="Q59" s="40">
        <f t="shared" si="9"/>
        <v>0</v>
      </c>
      <c r="R59" s="40">
        <f t="shared" si="10"/>
        <v>0</v>
      </c>
      <c r="S59" s="40">
        <f t="shared" si="11"/>
        <v>0</v>
      </c>
    </row>
    <row r="60" spans="1:20" ht="15" customHeight="1" x14ac:dyDescent="0.35">
      <c r="A60" t="s">
        <v>1404</v>
      </c>
      <c r="B60" t="s">
        <v>1404</v>
      </c>
      <c r="C60">
        <v>0</v>
      </c>
      <c r="D60">
        <f t="shared" si="0"/>
        <v>0</v>
      </c>
      <c r="F60" s="3" t="s">
        <v>1162</v>
      </c>
      <c r="G60" s="3">
        <v>10</v>
      </c>
      <c r="H60" s="3">
        <v>8</v>
      </c>
      <c r="I60" s="3"/>
      <c r="J60" s="3">
        <v>6</v>
      </c>
      <c r="K60" s="3"/>
      <c r="L60" s="3"/>
      <c r="M60" s="3">
        <f>IF(G60=0,N60,N60*G60)</f>
        <v>38</v>
      </c>
      <c r="N60" s="3">
        <f t="shared" si="8"/>
        <v>3.8</v>
      </c>
      <c r="O60" s="3">
        <f t="shared" si="6"/>
        <v>3.8</v>
      </c>
      <c r="P60" s="3" t="s">
        <v>1405</v>
      </c>
      <c r="Q60" s="3">
        <f t="shared" si="9"/>
        <v>2</v>
      </c>
      <c r="R60" s="3">
        <f t="shared" si="10"/>
        <v>0</v>
      </c>
      <c r="S60" s="3">
        <f t="shared" si="11"/>
        <v>-2</v>
      </c>
      <c r="T60" s="3"/>
    </row>
    <row r="61" spans="1:20" ht="15" customHeight="1" x14ac:dyDescent="0.35">
      <c r="A61" t="s">
        <v>1406</v>
      </c>
      <c r="B61" t="s">
        <v>1406</v>
      </c>
      <c r="C61">
        <v>0</v>
      </c>
      <c r="D61">
        <f t="shared" si="0"/>
        <v>0</v>
      </c>
      <c r="F61" s="3" t="s">
        <v>1407</v>
      </c>
      <c r="G61" s="3">
        <v>6</v>
      </c>
      <c r="H61" s="3">
        <v>5</v>
      </c>
      <c r="I61" s="3"/>
      <c r="J61" s="3">
        <v>7</v>
      </c>
      <c r="K61" s="3"/>
      <c r="L61" s="3"/>
      <c r="M61" s="3">
        <f>IF(G61=0,N61,N61*G61)</f>
        <v>18</v>
      </c>
      <c r="N61" s="3">
        <f t="shared" si="8"/>
        <v>3</v>
      </c>
      <c r="O61" s="3">
        <f t="shared" si="6"/>
        <v>3</v>
      </c>
      <c r="P61" s="3" t="s">
        <v>1408</v>
      </c>
      <c r="Q61" s="3">
        <f t="shared" si="9"/>
        <v>3</v>
      </c>
      <c r="R61" s="3">
        <f t="shared" si="10"/>
        <v>0</v>
      </c>
      <c r="S61" s="3">
        <f t="shared" si="11"/>
        <v>-3</v>
      </c>
      <c r="T61" s="3"/>
    </row>
    <row r="62" spans="1:20" ht="15" customHeight="1" x14ac:dyDescent="0.35">
      <c r="A62" t="s">
        <v>1409</v>
      </c>
      <c r="B62" t="s">
        <v>1409</v>
      </c>
      <c r="C62">
        <v>0</v>
      </c>
      <c r="D62">
        <f t="shared" si="0"/>
        <v>0</v>
      </c>
      <c r="F62" s="3" t="s">
        <v>1410</v>
      </c>
      <c r="G62" s="3">
        <v>6</v>
      </c>
      <c r="H62" s="3">
        <v>13</v>
      </c>
      <c r="I62" s="3">
        <v>3</v>
      </c>
      <c r="J62" s="3">
        <v>3</v>
      </c>
      <c r="K62" s="3"/>
      <c r="L62" s="3"/>
      <c r="M62" s="3">
        <f>IF(G62=0,N62,N62*G62)</f>
        <v>22</v>
      </c>
      <c r="N62" s="3">
        <f t="shared" si="8"/>
        <v>3.6666666666666665</v>
      </c>
      <c r="O62" s="3">
        <f t="shared" si="6"/>
        <v>5.166666666666667</v>
      </c>
      <c r="P62" s="3" t="s">
        <v>1411</v>
      </c>
      <c r="Q62" s="3">
        <f t="shared" si="9"/>
        <v>1</v>
      </c>
      <c r="R62" s="3">
        <f t="shared" si="10"/>
        <v>1</v>
      </c>
      <c r="S62" s="3">
        <f t="shared" si="11"/>
        <v>0</v>
      </c>
      <c r="T62" s="3"/>
    </row>
    <row r="63" spans="1:20" ht="15" customHeight="1" x14ac:dyDescent="0.25">
      <c r="A63" t="s">
        <v>1632</v>
      </c>
      <c r="B63" t="s">
        <v>1632</v>
      </c>
      <c r="C63">
        <v>0</v>
      </c>
      <c r="D63">
        <f t="shared" si="0"/>
        <v>0</v>
      </c>
      <c r="F63" s="3" t="s">
        <v>2004</v>
      </c>
      <c r="G63" s="3">
        <v>9</v>
      </c>
      <c r="H63" s="3">
        <v>12</v>
      </c>
      <c r="I63" s="3">
        <v>3</v>
      </c>
      <c r="J63" s="3">
        <v>8</v>
      </c>
      <c r="K63" s="3">
        <v>1</v>
      </c>
      <c r="L63" s="3"/>
      <c r="M63" s="3">
        <v>30</v>
      </c>
      <c r="N63" s="3">
        <v>3.3333333333333335</v>
      </c>
      <c r="O63" s="3">
        <f t="shared" si="6"/>
        <v>4.333333333333333</v>
      </c>
      <c r="P63" s="3" t="s">
        <v>1651</v>
      </c>
      <c r="Q63" s="3">
        <v>2</v>
      </c>
      <c r="R63" s="3">
        <v>0</v>
      </c>
      <c r="S63" s="3">
        <v>-2</v>
      </c>
      <c r="T63" s="3"/>
    </row>
    <row r="64" spans="1:20" ht="15" customHeight="1" x14ac:dyDescent="0.35">
      <c r="A64" t="s">
        <v>2005</v>
      </c>
      <c r="B64" t="s">
        <v>2005</v>
      </c>
      <c r="C64">
        <v>0</v>
      </c>
      <c r="D64">
        <f t="shared" si="0"/>
        <v>0</v>
      </c>
      <c r="F64" t="s">
        <v>1636</v>
      </c>
      <c r="G64" s="3">
        <v>9</v>
      </c>
      <c r="H64" s="3">
        <v>12</v>
      </c>
      <c r="I64" s="3">
        <v>3</v>
      </c>
      <c r="J64" s="3">
        <v>8</v>
      </c>
      <c r="K64" s="3">
        <v>1</v>
      </c>
      <c r="M64" s="3">
        <f t="shared" ref="M64:M85" si="12">IF(G64=0,N64,N64*G64)</f>
        <v>30</v>
      </c>
      <c r="N64" s="3">
        <f t="shared" ref="N64:N95" si="13">IF(G64=0,(4*G64+H64-2*J64-3*I64+5*K64-2*L64-S64),(4*G64+H64-2*J64-3*I64+5*K64-2*L64-S64)/G64)</f>
        <v>3.3333333333333335</v>
      </c>
      <c r="O64" s="3">
        <f t="shared" si="6"/>
        <v>4.333333333333333</v>
      </c>
      <c r="P64" s="3" t="s">
        <v>1651</v>
      </c>
      <c r="Q64" s="3">
        <f t="shared" ref="Q64:Q95" si="14">SUM(LEN($P64)-LEN(SUBSTITUTE($P64,"-","")))/LEN("-")</f>
        <v>2</v>
      </c>
      <c r="R64" s="3">
        <f t="shared" ref="R64:R95" si="15">SUM(LEN($P64)-LEN(SUBSTITUTE($P64,"+","")))/LEN("+")</f>
        <v>0</v>
      </c>
      <c r="S64" s="3">
        <f t="shared" ref="S64:S99" si="16">R64-Q64</f>
        <v>-2</v>
      </c>
    </row>
    <row r="65" spans="1:20" s="40" customFormat="1" ht="15" customHeight="1" x14ac:dyDescent="0.35">
      <c r="A65" s="40" t="s">
        <v>1920</v>
      </c>
      <c r="B65" s="40" t="s">
        <v>1920</v>
      </c>
      <c r="C65" s="40">
        <v>0</v>
      </c>
      <c r="D65" s="40">
        <f t="shared" si="0"/>
        <v>0</v>
      </c>
      <c r="F65" s="40" t="s">
        <v>1636</v>
      </c>
      <c r="G65" s="40">
        <v>9</v>
      </c>
      <c r="H65" s="40">
        <v>12</v>
      </c>
      <c r="I65" s="40">
        <v>3</v>
      </c>
      <c r="J65" s="40">
        <v>8</v>
      </c>
      <c r="K65" s="40">
        <v>1</v>
      </c>
      <c r="M65" s="40">
        <f t="shared" si="12"/>
        <v>30</v>
      </c>
      <c r="N65" s="40">
        <f t="shared" si="13"/>
        <v>3.3333333333333335</v>
      </c>
      <c r="O65" s="40">
        <f t="shared" si="6"/>
        <v>4.333333333333333</v>
      </c>
      <c r="P65" s="40" t="s">
        <v>1651</v>
      </c>
      <c r="Q65" s="40">
        <f t="shared" si="14"/>
        <v>2</v>
      </c>
      <c r="R65" s="40">
        <f t="shared" si="15"/>
        <v>0</v>
      </c>
      <c r="S65" s="40">
        <f t="shared" si="16"/>
        <v>-2</v>
      </c>
    </row>
    <row r="66" spans="1:20" ht="15" customHeight="1" x14ac:dyDescent="0.35">
      <c r="A66" t="s">
        <v>1412</v>
      </c>
      <c r="B66" t="s">
        <v>1412</v>
      </c>
      <c r="C66">
        <v>0</v>
      </c>
      <c r="D66">
        <f t="shared" ref="D66:D129" si="17">IF(OR(EXACT(A66,"formaldehyde_ext"),EXACT(A66,"formate_ext"),EXACT(A66,"Acetate_ext"),EXACT(A66,"CO2_out"),EXACT(A66,"H2O"),EXACT(A66,"H2O2_ext"),EXACT(A66,"H2S_ext"),EXACT(A66,"kg_biomass_EXT"),EXACT(A66,"Maintenance_leak"),EXACT(A66,"NH3_ext"),EXACT(A66,"O2_out"),EXACT(A66,"Phosphate_out"),EXACT(A66,"proton_external"),EXACT(A66,"urea_ext"),EXACT(A66,"myell_DNA_EXT"),EXACT(A66,"myell_biomass_ext")),1,0)</f>
        <v>0</v>
      </c>
      <c r="F66" s="3" t="s">
        <v>1233</v>
      </c>
      <c r="G66" s="3">
        <v>1</v>
      </c>
      <c r="H66" s="3"/>
      <c r="I66" s="3"/>
      <c r="J66" s="3">
        <v>2</v>
      </c>
      <c r="K66" s="3"/>
      <c r="L66" s="3"/>
      <c r="M66" s="3">
        <f t="shared" si="12"/>
        <v>0</v>
      </c>
      <c r="N66" s="3">
        <f t="shared" si="13"/>
        <v>0</v>
      </c>
      <c r="O66" s="3">
        <f t="shared" si="6"/>
        <v>0</v>
      </c>
      <c r="P66" s="3" t="s">
        <v>1234</v>
      </c>
      <c r="Q66" s="3">
        <f t="shared" si="14"/>
        <v>0</v>
      </c>
      <c r="R66" s="3">
        <f t="shared" si="15"/>
        <v>0</v>
      </c>
      <c r="S66" s="3">
        <f t="shared" si="16"/>
        <v>0</v>
      </c>
      <c r="T66" s="3"/>
    </row>
    <row r="67" spans="1:20" s="40" customFormat="1" ht="15" customHeight="1" x14ac:dyDescent="0.35">
      <c r="A67" s="40" t="s">
        <v>1413</v>
      </c>
      <c r="B67" s="40" t="s">
        <v>1413</v>
      </c>
      <c r="C67" s="40">
        <v>0</v>
      </c>
      <c r="D67" s="40">
        <f t="shared" si="17"/>
        <v>1</v>
      </c>
      <c r="F67" s="40" t="s">
        <v>1233</v>
      </c>
      <c r="G67" s="40">
        <v>1</v>
      </c>
      <c r="J67" s="40">
        <v>2</v>
      </c>
      <c r="M67" s="40">
        <f t="shared" si="12"/>
        <v>0</v>
      </c>
      <c r="N67" s="40">
        <f t="shared" si="13"/>
        <v>0</v>
      </c>
      <c r="O67" s="40">
        <f t="shared" ref="O67:O130" si="18">IF(G67=0,(4*G67+H67-2*J67+5*K67-2*L67-S67),(4*G67+H67-2*J67+5*K67-2*L67-S67)/G67)</f>
        <v>0</v>
      </c>
      <c r="P67" s="40" t="s">
        <v>1234</v>
      </c>
      <c r="Q67" s="40">
        <f t="shared" si="14"/>
        <v>0</v>
      </c>
      <c r="R67" s="40">
        <f t="shared" si="15"/>
        <v>0</v>
      </c>
      <c r="S67" s="40">
        <f t="shared" si="16"/>
        <v>0</v>
      </c>
    </row>
    <row r="68" spans="1:20" ht="15" customHeight="1" x14ac:dyDescent="0.35">
      <c r="A68" t="s">
        <v>1414</v>
      </c>
      <c r="B68" t="s">
        <v>1414</v>
      </c>
      <c r="C68">
        <v>0</v>
      </c>
      <c r="D68">
        <f t="shared" si="17"/>
        <v>0</v>
      </c>
      <c r="F68" s="3" t="s">
        <v>1415</v>
      </c>
      <c r="G68" s="3">
        <v>21</v>
      </c>
      <c r="H68" s="3">
        <v>32</v>
      </c>
      <c r="I68" s="3">
        <v>7</v>
      </c>
      <c r="J68" s="3">
        <v>16</v>
      </c>
      <c r="K68" s="3">
        <v>3</v>
      </c>
      <c r="L68" s="3">
        <v>1</v>
      </c>
      <c r="M68" s="3">
        <f t="shared" si="12"/>
        <v>80</v>
      </c>
      <c r="N68" s="3">
        <f t="shared" si="13"/>
        <v>3.8095238095238093</v>
      </c>
      <c r="O68" s="3">
        <f t="shared" si="18"/>
        <v>4.8095238095238093</v>
      </c>
      <c r="P68" s="3" t="s">
        <v>1416</v>
      </c>
      <c r="Q68" s="3">
        <f t="shared" si="14"/>
        <v>4</v>
      </c>
      <c r="R68" s="3">
        <f t="shared" si="15"/>
        <v>0</v>
      </c>
      <c r="S68" s="3">
        <f t="shared" si="16"/>
        <v>-4</v>
      </c>
      <c r="T68" s="3"/>
    </row>
    <row r="69" spans="1:20" ht="15" customHeight="1" x14ac:dyDescent="0.35">
      <c r="A69" t="s">
        <v>1417</v>
      </c>
      <c r="B69" t="s">
        <v>1417</v>
      </c>
      <c r="C69">
        <v>0</v>
      </c>
      <c r="D69">
        <f t="shared" si="17"/>
        <v>0</v>
      </c>
      <c r="F69" s="3" t="s">
        <v>1418</v>
      </c>
      <c r="G69" s="3">
        <v>9</v>
      </c>
      <c r="H69" s="3">
        <v>12</v>
      </c>
      <c r="I69" s="3">
        <v>3</v>
      </c>
      <c r="J69" s="3">
        <v>14</v>
      </c>
      <c r="K69" s="3">
        <v>3</v>
      </c>
      <c r="L69" s="3"/>
      <c r="M69" s="3">
        <f t="shared" si="12"/>
        <v>30</v>
      </c>
      <c r="N69" s="3">
        <f t="shared" si="13"/>
        <v>3.3333333333333335</v>
      </c>
      <c r="O69" s="3">
        <f t="shared" si="18"/>
        <v>4.333333333333333</v>
      </c>
      <c r="P69" s="3" t="s">
        <v>1419</v>
      </c>
      <c r="Q69" s="3">
        <f t="shared" si="14"/>
        <v>4</v>
      </c>
      <c r="R69" s="3">
        <f t="shared" si="15"/>
        <v>0</v>
      </c>
      <c r="S69" s="3">
        <f t="shared" si="16"/>
        <v>-4</v>
      </c>
      <c r="T69" s="3"/>
    </row>
    <row r="70" spans="1:20" ht="15" customHeight="1" x14ac:dyDescent="0.35">
      <c r="A70" t="s">
        <v>1420</v>
      </c>
      <c r="B70" t="s">
        <v>1420</v>
      </c>
      <c r="C70">
        <v>0</v>
      </c>
      <c r="D70">
        <f t="shared" si="17"/>
        <v>0</v>
      </c>
      <c r="F70" s="3" t="s">
        <v>1421</v>
      </c>
      <c r="G70" s="3">
        <v>7</v>
      </c>
      <c r="H70" s="3">
        <v>14</v>
      </c>
      <c r="I70" s="3">
        <v>2</v>
      </c>
      <c r="J70" s="3">
        <v>4</v>
      </c>
      <c r="K70" s="3"/>
      <c r="L70" s="3">
        <v>1</v>
      </c>
      <c r="M70" s="3">
        <f t="shared" si="12"/>
        <v>26</v>
      </c>
      <c r="N70" s="3">
        <f t="shared" si="13"/>
        <v>3.7142857142857144</v>
      </c>
      <c r="O70" s="3">
        <f t="shared" si="18"/>
        <v>4.5714285714285712</v>
      </c>
      <c r="P70" s="3" t="s">
        <v>1422</v>
      </c>
      <c r="Q70" s="3">
        <f t="shared" si="14"/>
        <v>2</v>
      </c>
      <c r="R70" s="3">
        <f t="shared" si="15"/>
        <v>2</v>
      </c>
      <c r="S70" s="3">
        <f t="shared" si="16"/>
        <v>0</v>
      </c>
      <c r="T70" s="3"/>
    </row>
    <row r="71" spans="1:20" ht="15" customHeight="1" x14ac:dyDescent="0.35">
      <c r="A71" t="s">
        <v>1425</v>
      </c>
      <c r="B71" t="s">
        <v>1425</v>
      </c>
      <c r="C71">
        <v>0</v>
      </c>
      <c r="D71">
        <f t="shared" si="17"/>
        <v>0</v>
      </c>
      <c r="F71" s="3" t="s">
        <v>1426</v>
      </c>
      <c r="G71" s="3">
        <v>10</v>
      </c>
      <c r="H71" s="3">
        <v>12</v>
      </c>
      <c r="I71" s="3">
        <v>5</v>
      </c>
      <c r="J71" s="3">
        <v>9</v>
      </c>
      <c r="K71" s="3">
        <v>2</v>
      </c>
      <c r="L71" s="3"/>
      <c r="M71" s="3">
        <f t="shared" si="12"/>
        <v>32</v>
      </c>
      <c r="N71" s="3">
        <f t="shared" si="13"/>
        <v>3.2</v>
      </c>
      <c r="O71" s="3">
        <f t="shared" si="18"/>
        <v>4.7</v>
      </c>
      <c r="P71" s="3" t="s">
        <v>1427</v>
      </c>
      <c r="Q71" s="3">
        <f t="shared" si="14"/>
        <v>3</v>
      </c>
      <c r="R71" s="3">
        <f t="shared" si="15"/>
        <v>0</v>
      </c>
      <c r="S71" s="3">
        <f t="shared" si="16"/>
        <v>-3</v>
      </c>
      <c r="T71" s="3"/>
    </row>
    <row r="72" spans="1:20" ht="15" customHeight="1" x14ac:dyDescent="0.35">
      <c r="A72" t="s">
        <v>1428</v>
      </c>
      <c r="B72" t="s">
        <v>1428</v>
      </c>
      <c r="C72">
        <v>0</v>
      </c>
      <c r="D72">
        <f t="shared" si="17"/>
        <v>0</v>
      </c>
      <c r="F72" s="3" t="s">
        <v>1429</v>
      </c>
      <c r="G72" s="3">
        <v>7</v>
      </c>
      <c r="H72" s="3">
        <v>10</v>
      </c>
      <c r="I72" s="3"/>
      <c r="J72" s="3">
        <v>10</v>
      </c>
      <c r="K72" s="3">
        <v>1</v>
      </c>
      <c r="L72" s="3"/>
      <c r="M72" s="3">
        <f t="shared" si="12"/>
        <v>26</v>
      </c>
      <c r="N72" s="3">
        <f t="shared" si="13"/>
        <v>3.7142857142857144</v>
      </c>
      <c r="O72" s="3">
        <f t="shared" si="18"/>
        <v>3.7142857142857144</v>
      </c>
      <c r="P72" s="3" t="s">
        <v>1430</v>
      </c>
      <c r="Q72" s="3">
        <f t="shared" si="14"/>
        <v>3</v>
      </c>
      <c r="R72" s="3">
        <f t="shared" si="15"/>
        <v>0</v>
      </c>
      <c r="S72" s="3">
        <f t="shared" si="16"/>
        <v>-3</v>
      </c>
      <c r="T72" s="3"/>
    </row>
    <row r="73" spans="1:20" ht="15" customHeight="1" x14ac:dyDescent="0.35">
      <c r="A73" t="s">
        <v>1431</v>
      </c>
      <c r="B73" t="s">
        <v>1431</v>
      </c>
      <c r="C73">
        <v>0</v>
      </c>
      <c r="D73">
        <f t="shared" si="17"/>
        <v>0</v>
      </c>
      <c r="F73" s="3" t="s">
        <v>1432</v>
      </c>
      <c r="G73" s="3">
        <v>10</v>
      </c>
      <c r="H73" s="3">
        <v>12</v>
      </c>
      <c r="I73" s="3">
        <v>5</v>
      </c>
      <c r="J73" s="3">
        <v>12</v>
      </c>
      <c r="K73" s="3">
        <v>3</v>
      </c>
      <c r="L73" s="3"/>
      <c r="M73" s="3">
        <f t="shared" si="12"/>
        <v>32</v>
      </c>
      <c r="N73" s="3">
        <f t="shared" si="13"/>
        <v>3.2</v>
      </c>
      <c r="O73" s="3">
        <f t="shared" si="18"/>
        <v>4.7</v>
      </c>
      <c r="P73" s="3" t="s">
        <v>1433</v>
      </c>
      <c r="Q73" s="3">
        <f t="shared" si="14"/>
        <v>4</v>
      </c>
      <c r="R73" s="3">
        <f t="shared" si="15"/>
        <v>0</v>
      </c>
      <c r="S73" s="3">
        <f t="shared" si="16"/>
        <v>-4</v>
      </c>
      <c r="T73" s="3"/>
    </row>
    <row r="74" spans="1:20" ht="15" customHeight="1" x14ac:dyDescent="0.35">
      <c r="A74" t="s">
        <v>1434</v>
      </c>
      <c r="B74" t="s">
        <v>1434</v>
      </c>
      <c r="C74">
        <v>0</v>
      </c>
      <c r="D74">
        <f t="shared" si="17"/>
        <v>0</v>
      </c>
      <c r="F74" s="3" t="s">
        <v>1435</v>
      </c>
      <c r="G74" s="3">
        <v>9</v>
      </c>
      <c r="H74" s="3">
        <v>12</v>
      </c>
      <c r="I74" s="3">
        <v>3</v>
      </c>
      <c r="J74" s="3">
        <v>13</v>
      </c>
      <c r="K74" s="3">
        <v>3</v>
      </c>
      <c r="L74" s="3"/>
      <c r="M74" s="3">
        <f t="shared" si="12"/>
        <v>32</v>
      </c>
      <c r="N74" s="3">
        <f t="shared" si="13"/>
        <v>3.5555555555555554</v>
      </c>
      <c r="O74" s="3">
        <f t="shared" si="18"/>
        <v>4.5555555555555554</v>
      </c>
      <c r="P74" s="3" t="s">
        <v>1436</v>
      </c>
      <c r="Q74" s="3">
        <f t="shared" si="14"/>
        <v>4</v>
      </c>
      <c r="R74" s="3">
        <f t="shared" si="15"/>
        <v>0</v>
      </c>
      <c r="S74" s="3">
        <f t="shared" si="16"/>
        <v>-4</v>
      </c>
      <c r="T74" s="3"/>
    </row>
    <row r="75" spans="1:20" ht="15" customHeight="1" x14ac:dyDescent="0.35">
      <c r="A75" t="s">
        <v>1437</v>
      </c>
      <c r="B75" t="s">
        <v>1437</v>
      </c>
      <c r="C75">
        <v>0</v>
      </c>
      <c r="D75">
        <f t="shared" si="17"/>
        <v>0</v>
      </c>
      <c r="F75" s="3" t="s">
        <v>1438</v>
      </c>
      <c r="G75" s="3">
        <v>6</v>
      </c>
      <c r="H75" s="3">
        <v>9</v>
      </c>
      <c r="I75" s="3">
        <v>2</v>
      </c>
      <c r="J75" s="3">
        <v>6</v>
      </c>
      <c r="K75" s="3">
        <v>1</v>
      </c>
      <c r="L75" s="3"/>
      <c r="M75" s="3">
        <f t="shared" si="12"/>
        <v>22</v>
      </c>
      <c r="N75" s="3">
        <f t="shared" si="13"/>
        <v>3.6666666666666665</v>
      </c>
      <c r="O75" s="3">
        <f t="shared" si="18"/>
        <v>4.666666666666667</v>
      </c>
      <c r="P75" s="3" t="s">
        <v>1439</v>
      </c>
      <c r="Q75" s="3">
        <f t="shared" si="14"/>
        <v>2</v>
      </c>
      <c r="R75" s="3">
        <f t="shared" si="15"/>
        <v>0</v>
      </c>
      <c r="S75" s="3">
        <f t="shared" si="16"/>
        <v>-2</v>
      </c>
      <c r="T75" s="3"/>
    </row>
    <row r="76" spans="1:20" ht="15" customHeight="1" x14ac:dyDescent="0.35">
      <c r="A76" t="s">
        <v>1440</v>
      </c>
      <c r="B76" t="s">
        <v>1440</v>
      </c>
      <c r="C76">
        <v>0</v>
      </c>
      <c r="D76">
        <f t="shared" si="17"/>
        <v>0</v>
      </c>
      <c r="F76" s="3" t="s">
        <v>1441</v>
      </c>
      <c r="G76" s="3">
        <v>4</v>
      </c>
      <c r="H76" s="3">
        <v>7</v>
      </c>
      <c r="I76" s="3"/>
      <c r="J76" s="3">
        <v>7</v>
      </c>
      <c r="K76" s="3">
        <v>1</v>
      </c>
      <c r="L76" s="3"/>
      <c r="M76" s="3">
        <f t="shared" si="12"/>
        <v>16</v>
      </c>
      <c r="N76" s="3">
        <f t="shared" si="13"/>
        <v>4</v>
      </c>
      <c r="O76" s="3">
        <f t="shared" si="18"/>
        <v>4</v>
      </c>
      <c r="P76" s="3" t="s">
        <v>1442</v>
      </c>
      <c r="Q76" s="3">
        <f t="shared" si="14"/>
        <v>2</v>
      </c>
      <c r="R76" s="3">
        <f t="shared" si="15"/>
        <v>0</v>
      </c>
      <c r="S76" s="3">
        <f t="shared" si="16"/>
        <v>-2</v>
      </c>
      <c r="T76" s="3"/>
    </row>
    <row r="77" spans="1:20" ht="15" customHeight="1" x14ac:dyDescent="0.35">
      <c r="A77" t="s">
        <v>1616</v>
      </c>
      <c r="B77" t="s">
        <v>1616</v>
      </c>
      <c r="C77">
        <v>0</v>
      </c>
      <c r="D77">
        <f t="shared" si="17"/>
        <v>0</v>
      </c>
      <c r="F77" t="s">
        <v>1617</v>
      </c>
      <c r="G77" s="3">
        <v>6</v>
      </c>
      <c r="H77" s="3">
        <v>10</v>
      </c>
      <c r="I77" s="3"/>
      <c r="J77" s="3">
        <v>12</v>
      </c>
      <c r="K77" s="3">
        <v>2</v>
      </c>
      <c r="L77" s="3"/>
      <c r="M77" s="3">
        <f t="shared" si="12"/>
        <v>24</v>
      </c>
      <c r="N77" s="3">
        <f t="shared" si="13"/>
        <v>4</v>
      </c>
      <c r="O77" s="3">
        <f t="shared" si="18"/>
        <v>4</v>
      </c>
      <c r="P77" t="s">
        <v>1618</v>
      </c>
      <c r="Q77" s="3">
        <f t="shared" si="14"/>
        <v>4</v>
      </c>
      <c r="R77" s="3">
        <f t="shared" si="15"/>
        <v>0</v>
      </c>
      <c r="S77" s="3">
        <f t="shared" si="16"/>
        <v>-4</v>
      </c>
      <c r="T77" s="3"/>
    </row>
    <row r="78" spans="1:20" ht="15" customHeight="1" x14ac:dyDescent="0.35">
      <c r="A78" t="s">
        <v>1443</v>
      </c>
      <c r="B78" t="s">
        <v>1443</v>
      </c>
      <c r="C78">
        <v>0</v>
      </c>
      <c r="D78">
        <f t="shared" si="17"/>
        <v>0</v>
      </c>
      <c r="F78" s="3" t="s">
        <v>1307</v>
      </c>
      <c r="G78" s="3">
        <v>6</v>
      </c>
      <c r="H78" s="3">
        <v>11</v>
      </c>
      <c r="I78" s="3"/>
      <c r="J78" s="3">
        <v>9</v>
      </c>
      <c r="K78" s="3">
        <v>1</v>
      </c>
      <c r="L78" s="3"/>
      <c r="M78" s="3">
        <f t="shared" si="12"/>
        <v>24</v>
      </c>
      <c r="N78" s="3">
        <f t="shared" si="13"/>
        <v>4</v>
      </c>
      <c r="O78" s="3">
        <f t="shared" si="18"/>
        <v>4</v>
      </c>
      <c r="P78" s="3" t="s">
        <v>1444</v>
      </c>
      <c r="Q78" s="3">
        <f t="shared" si="14"/>
        <v>2</v>
      </c>
      <c r="R78" s="3">
        <f t="shared" si="15"/>
        <v>0</v>
      </c>
      <c r="S78" s="3">
        <f t="shared" si="16"/>
        <v>-2</v>
      </c>
      <c r="T78" s="3"/>
    </row>
    <row r="79" spans="1:20" ht="15" customHeight="1" x14ac:dyDescent="0.35">
      <c r="A79" t="s">
        <v>1619</v>
      </c>
      <c r="B79" t="s">
        <v>1619</v>
      </c>
      <c r="C79">
        <v>0</v>
      </c>
      <c r="D79">
        <f t="shared" si="17"/>
        <v>0</v>
      </c>
      <c r="F79" t="s">
        <v>1620</v>
      </c>
      <c r="G79" s="3">
        <v>6</v>
      </c>
      <c r="H79" s="3">
        <v>10</v>
      </c>
      <c r="I79" s="3"/>
      <c r="J79" s="3">
        <v>6</v>
      </c>
      <c r="K79" s="3"/>
      <c r="L79" s="3"/>
      <c r="M79" s="3">
        <f t="shared" si="12"/>
        <v>22</v>
      </c>
      <c r="N79" s="3">
        <f t="shared" si="13"/>
        <v>3.6666666666666665</v>
      </c>
      <c r="O79" s="3">
        <f t="shared" si="18"/>
        <v>3.6666666666666665</v>
      </c>
      <c r="P79" t="s">
        <v>1621</v>
      </c>
      <c r="Q79" s="3">
        <f t="shared" si="14"/>
        <v>0</v>
      </c>
      <c r="R79" s="3">
        <f t="shared" si="15"/>
        <v>0</v>
      </c>
      <c r="S79" s="3">
        <f t="shared" si="16"/>
        <v>0</v>
      </c>
      <c r="T79" s="3"/>
    </row>
    <row r="80" spans="1:20" ht="15" customHeight="1" x14ac:dyDescent="0.35">
      <c r="A80" t="s">
        <v>1445</v>
      </c>
      <c r="B80" t="s">
        <v>1445</v>
      </c>
      <c r="C80">
        <v>0</v>
      </c>
      <c r="D80">
        <f t="shared" si="17"/>
        <v>0</v>
      </c>
      <c r="F80" s="3" t="s">
        <v>1446</v>
      </c>
      <c r="G80" s="3">
        <v>6</v>
      </c>
      <c r="H80" s="3">
        <v>12</v>
      </c>
      <c r="I80" s="3"/>
      <c r="J80" s="3">
        <v>6</v>
      </c>
      <c r="K80" s="3"/>
      <c r="L80" s="3"/>
      <c r="M80" s="3">
        <f t="shared" si="12"/>
        <v>24</v>
      </c>
      <c r="N80" s="3">
        <f t="shared" si="13"/>
        <v>4</v>
      </c>
      <c r="O80" s="3">
        <f t="shared" si="18"/>
        <v>4</v>
      </c>
      <c r="P80" s="3" t="s">
        <v>1447</v>
      </c>
      <c r="Q80" s="3">
        <f t="shared" si="14"/>
        <v>0</v>
      </c>
      <c r="R80" s="3">
        <f t="shared" si="15"/>
        <v>0</v>
      </c>
      <c r="S80" s="3">
        <f t="shared" si="16"/>
        <v>0</v>
      </c>
      <c r="T80" s="3"/>
    </row>
    <row r="81" spans="1:20" ht="15" customHeight="1" x14ac:dyDescent="0.35">
      <c r="A81" t="s">
        <v>1448</v>
      </c>
      <c r="B81" t="s">
        <v>1448</v>
      </c>
      <c r="C81">
        <v>0</v>
      </c>
      <c r="D81">
        <f t="shared" si="17"/>
        <v>0</v>
      </c>
      <c r="F81" s="3" t="s">
        <v>1388</v>
      </c>
      <c r="G81" s="3">
        <v>10</v>
      </c>
      <c r="H81" s="3">
        <v>12</v>
      </c>
      <c r="I81" s="3">
        <v>5</v>
      </c>
      <c r="J81" s="3">
        <v>13</v>
      </c>
      <c r="K81" s="3">
        <v>3</v>
      </c>
      <c r="L81" s="3"/>
      <c r="M81" s="3">
        <f t="shared" si="12"/>
        <v>30</v>
      </c>
      <c r="N81" s="3">
        <f t="shared" si="13"/>
        <v>3</v>
      </c>
      <c r="O81" s="3">
        <f t="shared" si="18"/>
        <v>4.5</v>
      </c>
      <c r="P81" s="3" t="s">
        <v>1449</v>
      </c>
      <c r="Q81" s="3">
        <f t="shared" si="14"/>
        <v>4</v>
      </c>
      <c r="R81" s="3">
        <f t="shared" si="15"/>
        <v>0</v>
      </c>
      <c r="S81" s="3">
        <f t="shared" si="16"/>
        <v>-4</v>
      </c>
      <c r="T81" s="3"/>
    </row>
    <row r="82" spans="1:20" ht="15" customHeight="1" x14ac:dyDescent="0.35">
      <c r="A82" t="s">
        <v>1450</v>
      </c>
      <c r="B82" t="s">
        <v>1450</v>
      </c>
      <c r="C82">
        <v>0</v>
      </c>
      <c r="D82">
        <f t="shared" si="17"/>
        <v>0</v>
      </c>
      <c r="F82" s="3" t="s">
        <v>1451</v>
      </c>
      <c r="G82" s="3">
        <v>3</v>
      </c>
      <c r="H82" s="3">
        <v>5</v>
      </c>
      <c r="I82" s="3"/>
      <c r="J82" s="3">
        <v>6</v>
      </c>
      <c r="K82" s="3">
        <v>1</v>
      </c>
      <c r="L82" s="3"/>
      <c r="M82" s="3">
        <f t="shared" si="12"/>
        <v>12</v>
      </c>
      <c r="N82" s="3">
        <f t="shared" si="13"/>
        <v>4</v>
      </c>
      <c r="O82" s="3">
        <f t="shared" si="18"/>
        <v>4</v>
      </c>
      <c r="P82" s="3" t="s">
        <v>1452</v>
      </c>
      <c r="Q82" s="3">
        <f t="shared" si="14"/>
        <v>2</v>
      </c>
      <c r="R82" s="3">
        <f t="shared" si="15"/>
        <v>0</v>
      </c>
      <c r="S82" s="3">
        <f t="shared" si="16"/>
        <v>-2</v>
      </c>
      <c r="T82" s="3"/>
    </row>
    <row r="83" spans="1:20" ht="15" customHeight="1" x14ac:dyDescent="0.35">
      <c r="A83" t="s">
        <v>1453</v>
      </c>
      <c r="B83" t="s">
        <v>1453</v>
      </c>
      <c r="C83">
        <v>0</v>
      </c>
      <c r="D83">
        <f t="shared" si="17"/>
        <v>0</v>
      </c>
      <c r="F83" s="3" t="s">
        <v>1454</v>
      </c>
      <c r="G83" s="3">
        <v>7</v>
      </c>
      <c r="H83" s="3">
        <v>5</v>
      </c>
      <c r="I83" s="3">
        <v>1</v>
      </c>
      <c r="J83" s="3">
        <v>4</v>
      </c>
      <c r="K83" s="3"/>
      <c r="L83" s="3"/>
      <c r="M83" s="3">
        <f t="shared" si="12"/>
        <v>24</v>
      </c>
      <c r="N83" s="3">
        <f t="shared" si="13"/>
        <v>3.4285714285714284</v>
      </c>
      <c r="O83" s="3">
        <f t="shared" si="18"/>
        <v>3.8571428571428572</v>
      </c>
      <c r="P83" s="3" t="s">
        <v>1455</v>
      </c>
      <c r="Q83" s="3">
        <f t="shared" si="14"/>
        <v>2</v>
      </c>
      <c r="R83" s="3">
        <f t="shared" si="15"/>
        <v>0</v>
      </c>
      <c r="S83" s="3">
        <f t="shared" si="16"/>
        <v>-2</v>
      </c>
      <c r="T83" s="3"/>
    </row>
    <row r="84" spans="1:20" s="26" customFormat="1" ht="15" customHeight="1" x14ac:dyDescent="0.35">
      <c r="A84" t="s">
        <v>1456</v>
      </c>
      <c r="B84" t="s">
        <v>1456</v>
      </c>
      <c r="C84">
        <v>0</v>
      </c>
      <c r="D84">
        <f t="shared" si="17"/>
        <v>0</v>
      </c>
      <c r="E84"/>
      <c r="F84" s="3" t="s">
        <v>1457</v>
      </c>
      <c r="G84" s="3">
        <v>8</v>
      </c>
      <c r="H84" s="3">
        <v>17</v>
      </c>
      <c r="I84" s="3">
        <v>1</v>
      </c>
      <c r="J84" s="3">
        <v>1</v>
      </c>
      <c r="K84" s="3"/>
      <c r="L84" s="3">
        <v>2</v>
      </c>
      <c r="M84" s="3">
        <f t="shared" si="12"/>
        <v>40</v>
      </c>
      <c r="N84" s="3">
        <f t="shared" si="13"/>
        <v>5</v>
      </c>
      <c r="O84" s="3">
        <f t="shared" si="18"/>
        <v>5.375</v>
      </c>
      <c r="P84" s="3" t="s">
        <v>1458</v>
      </c>
      <c r="Q84" s="3">
        <f t="shared" si="14"/>
        <v>0</v>
      </c>
      <c r="R84" s="3">
        <f t="shared" si="15"/>
        <v>0</v>
      </c>
      <c r="S84" s="3">
        <f t="shared" si="16"/>
        <v>0</v>
      </c>
      <c r="T84" s="3"/>
    </row>
    <row r="85" spans="1:20" ht="15" customHeight="1" x14ac:dyDescent="0.35">
      <c r="A85" t="s">
        <v>1459</v>
      </c>
      <c r="B85" t="s">
        <v>1459</v>
      </c>
      <c r="C85">
        <v>0</v>
      </c>
      <c r="D85">
        <f t="shared" si="17"/>
        <v>0</v>
      </c>
      <c r="F85" s="3" t="s">
        <v>1460</v>
      </c>
      <c r="G85" s="3">
        <v>5</v>
      </c>
      <c r="H85" s="3">
        <v>9</v>
      </c>
      <c r="I85" s="3"/>
      <c r="J85" s="3">
        <v>7</v>
      </c>
      <c r="K85" s="3">
        <v>2</v>
      </c>
      <c r="L85" s="3"/>
      <c r="M85" s="3">
        <f t="shared" si="12"/>
        <v>28</v>
      </c>
      <c r="N85" s="3">
        <f t="shared" si="13"/>
        <v>5.6</v>
      </c>
      <c r="O85" s="3">
        <f t="shared" si="18"/>
        <v>5.6</v>
      </c>
      <c r="P85" s="3" t="s">
        <v>1461</v>
      </c>
      <c r="Q85" s="3">
        <f t="shared" si="14"/>
        <v>3</v>
      </c>
      <c r="R85" s="3">
        <f t="shared" si="15"/>
        <v>0</v>
      </c>
      <c r="S85" s="3">
        <f t="shared" si="16"/>
        <v>-3</v>
      </c>
      <c r="T85" s="3"/>
    </row>
    <row r="86" spans="1:20" s="3" customFormat="1" ht="15" customHeight="1" x14ac:dyDescent="0.25">
      <c r="A86" s="3" t="s">
        <v>1462</v>
      </c>
      <c r="B86" s="3" t="s">
        <v>1462</v>
      </c>
      <c r="C86" s="3">
        <v>0</v>
      </c>
      <c r="D86" s="3">
        <f t="shared" si="17"/>
        <v>0</v>
      </c>
      <c r="G86" s="3">
        <f>BIOMASS_Geo!N7</f>
        <v>9.84</v>
      </c>
      <c r="H86" s="3">
        <f>BIOMASS_Geo!O7</f>
        <v>11.34</v>
      </c>
      <c r="I86" s="3">
        <f>BIOMASS_Geo!P7</f>
        <v>3.66</v>
      </c>
      <c r="J86" s="3">
        <f>BIOMASS_Geo!Q7</f>
        <v>6</v>
      </c>
      <c r="K86" s="3">
        <f>BIOMASS_Geo!R7</f>
        <v>1</v>
      </c>
      <c r="L86" s="3">
        <f>BIOMASS_Geo!S7</f>
        <v>0</v>
      </c>
      <c r="M86" s="3">
        <f>BIOMASS_Geo!T7</f>
        <v>33.720000000000006</v>
      </c>
      <c r="N86" s="3">
        <f t="shared" si="13"/>
        <v>3.3252032520325203</v>
      </c>
      <c r="O86" s="3">
        <f t="shared" si="18"/>
        <v>4.441056910569106</v>
      </c>
      <c r="Q86" s="3">
        <f t="shared" si="14"/>
        <v>0</v>
      </c>
      <c r="R86" s="3">
        <f t="shared" si="15"/>
        <v>0</v>
      </c>
      <c r="S86" s="3">
        <f t="shared" si="16"/>
        <v>0</v>
      </c>
    </row>
    <row r="87" spans="1:20" ht="15" customHeight="1" x14ac:dyDescent="0.35">
      <c r="A87" t="s">
        <v>2330</v>
      </c>
      <c r="B87" t="s">
        <v>2330</v>
      </c>
      <c r="C87">
        <v>0</v>
      </c>
      <c r="D87">
        <f t="shared" si="17"/>
        <v>0</v>
      </c>
      <c r="F87" t="s">
        <v>2336</v>
      </c>
      <c r="G87" s="3">
        <v>5</v>
      </c>
      <c r="H87" s="3">
        <v>9</v>
      </c>
      <c r="J87" s="3">
        <v>8</v>
      </c>
      <c r="K87" s="3">
        <v>1</v>
      </c>
      <c r="M87" s="3">
        <f t="shared" ref="M87:M120" si="19">IF(G87=0,N87,N87*G87)</f>
        <v>20</v>
      </c>
      <c r="N87" s="3">
        <f t="shared" si="13"/>
        <v>4</v>
      </c>
      <c r="O87" s="3">
        <f t="shared" si="18"/>
        <v>4</v>
      </c>
      <c r="P87" t="s">
        <v>2337</v>
      </c>
      <c r="Q87" s="3">
        <f t="shared" si="14"/>
        <v>2</v>
      </c>
      <c r="R87" s="3">
        <f t="shared" si="15"/>
        <v>0</v>
      </c>
      <c r="S87" s="3">
        <f t="shared" si="16"/>
        <v>-2</v>
      </c>
    </row>
    <row r="88" spans="1:20" ht="15" customHeight="1" x14ac:dyDescent="0.35">
      <c r="A88" t="s">
        <v>1463</v>
      </c>
      <c r="B88" t="s">
        <v>1463</v>
      </c>
      <c r="C88">
        <v>0</v>
      </c>
      <c r="D88">
        <f t="shared" si="17"/>
        <v>0</v>
      </c>
      <c r="F88" s="3" t="s">
        <v>1175</v>
      </c>
      <c r="G88" s="3">
        <v>5</v>
      </c>
      <c r="H88" s="3">
        <v>9</v>
      </c>
      <c r="I88" s="3"/>
      <c r="J88" s="3">
        <v>8</v>
      </c>
      <c r="K88" s="3">
        <v>1</v>
      </c>
      <c r="L88" s="3"/>
      <c r="M88" s="3">
        <f t="shared" si="19"/>
        <v>20</v>
      </c>
      <c r="N88" s="3">
        <f t="shared" si="13"/>
        <v>4</v>
      </c>
      <c r="O88" s="3">
        <f t="shared" si="18"/>
        <v>4</v>
      </c>
      <c r="P88" s="3" t="s">
        <v>1464</v>
      </c>
      <c r="Q88" s="3">
        <f t="shared" si="14"/>
        <v>2</v>
      </c>
      <c r="R88" s="3">
        <f t="shared" si="15"/>
        <v>0</v>
      </c>
      <c r="S88" s="3">
        <f t="shared" si="16"/>
        <v>-2</v>
      </c>
      <c r="T88" s="3"/>
    </row>
    <row r="89" spans="1:20" ht="15" customHeight="1" x14ac:dyDescent="0.35">
      <c r="A89" t="s">
        <v>1465</v>
      </c>
      <c r="B89" t="s">
        <v>1465</v>
      </c>
      <c r="C89">
        <v>0</v>
      </c>
      <c r="D89">
        <f t="shared" si="17"/>
        <v>0</v>
      </c>
      <c r="F89" s="3" t="s">
        <v>1466</v>
      </c>
      <c r="G89" s="3">
        <v>10</v>
      </c>
      <c r="H89" s="3">
        <v>13</v>
      </c>
      <c r="I89" s="3">
        <v>2</v>
      </c>
      <c r="J89" s="3">
        <v>11</v>
      </c>
      <c r="K89" s="3">
        <v>2</v>
      </c>
      <c r="L89" s="3"/>
      <c r="M89" s="3">
        <f t="shared" si="19"/>
        <v>38</v>
      </c>
      <c r="N89" s="3">
        <f t="shared" si="13"/>
        <v>3.8</v>
      </c>
      <c r="O89" s="3">
        <f t="shared" si="18"/>
        <v>4.4000000000000004</v>
      </c>
      <c r="P89" s="3" t="s">
        <v>1467</v>
      </c>
      <c r="Q89" s="3">
        <f t="shared" si="14"/>
        <v>3</v>
      </c>
      <c r="R89" s="3">
        <f t="shared" si="15"/>
        <v>0</v>
      </c>
      <c r="S89" s="3">
        <f t="shared" si="16"/>
        <v>-3</v>
      </c>
      <c r="T89" s="3"/>
    </row>
    <row r="90" spans="1:20" ht="15" customHeight="1" x14ac:dyDescent="0.35">
      <c r="A90" t="s">
        <v>1468</v>
      </c>
      <c r="B90" t="s">
        <v>1468</v>
      </c>
      <c r="C90">
        <v>0</v>
      </c>
      <c r="D90">
        <f t="shared" si="17"/>
        <v>0</v>
      </c>
      <c r="F90" s="3" t="s">
        <v>1469</v>
      </c>
      <c r="G90" s="3">
        <v>10</v>
      </c>
      <c r="H90" s="3">
        <v>13</v>
      </c>
      <c r="I90" s="3">
        <v>2</v>
      </c>
      <c r="J90" s="3">
        <v>8</v>
      </c>
      <c r="K90" s="3">
        <v>1</v>
      </c>
      <c r="L90" s="3"/>
      <c r="M90" s="3">
        <f t="shared" si="19"/>
        <v>38</v>
      </c>
      <c r="N90" s="3">
        <f t="shared" si="13"/>
        <v>3.8</v>
      </c>
      <c r="O90" s="3">
        <f t="shared" si="18"/>
        <v>4.4000000000000004</v>
      </c>
      <c r="P90" s="3" t="s">
        <v>1470</v>
      </c>
      <c r="Q90" s="3">
        <f t="shared" si="14"/>
        <v>2</v>
      </c>
      <c r="R90" s="3">
        <f t="shared" si="15"/>
        <v>0</v>
      </c>
      <c r="S90" s="3">
        <f t="shared" si="16"/>
        <v>-2</v>
      </c>
      <c r="T90" s="3"/>
    </row>
    <row r="91" spans="1:20" ht="15" customHeight="1" x14ac:dyDescent="0.35">
      <c r="A91" t="s">
        <v>1471</v>
      </c>
      <c r="B91" t="s">
        <v>1471</v>
      </c>
      <c r="C91">
        <v>0</v>
      </c>
      <c r="D91">
        <f t="shared" si="17"/>
        <v>0</v>
      </c>
      <c r="F91" s="3" t="s">
        <v>1472</v>
      </c>
      <c r="G91" s="3">
        <v>10</v>
      </c>
      <c r="H91" s="3">
        <v>13</v>
      </c>
      <c r="I91" s="3">
        <v>2</v>
      </c>
      <c r="J91" s="3">
        <v>14</v>
      </c>
      <c r="K91" s="3">
        <v>3</v>
      </c>
      <c r="L91" s="3"/>
      <c r="M91" s="3">
        <f t="shared" si="19"/>
        <v>38</v>
      </c>
      <c r="N91" s="3">
        <f t="shared" si="13"/>
        <v>3.8</v>
      </c>
      <c r="O91" s="3">
        <f t="shared" si="18"/>
        <v>4.4000000000000004</v>
      </c>
      <c r="P91" s="3" t="s">
        <v>1473</v>
      </c>
      <c r="Q91" s="3">
        <f t="shared" si="14"/>
        <v>4</v>
      </c>
      <c r="R91" s="3">
        <f t="shared" si="15"/>
        <v>0</v>
      </c>
      <c r="S91" s="3">
        <f t="shared" si="16"/>
        <v>-4</v>
      </c>
      <c r="T91" s="3"/>
    </row>
    <row r="92" spans="1:20" ht="15" customHeight="1" x14ac:dyDescent="0.35">
      <c r="A92" t="s">
        <v>1474</v>
      </c>
      <c r="B92" t="s">
        <v>1474</v>
      </c>
      <c r="C92">
        <v>0</v>
      </c>
      <c r="D92">
        <f t="shared" si="17"/>
        <v>0</v>
      </c>
      <c r="F92" s="3" t="s">
        <v>1475</v>
      </c>
      <c r="G92" s="3">
        <v>9</v>
      </c>
      <c r="H92" s="3">
        <v>11</v>
      </c>
      <c r="I92" s="3">
        <v>2</v>
      </c>
      <c r="J92" s="3">
        <v>8</v>
      </c>
      <c r="K92" s="3">
        <v>1</v>
      </c>
      <c r="L92" s="3"/>
      <c r="M92" s="3">
        <f t="shared" si="19"/>
        <v>32</v>
      </c>
      <c r="N92" s="3">
        <f t="shared" si="13"/>
        <v>3.5555555555555554</v>
      </c>
      <c r="O92" s="3">
        <f t="shared" si="18"/>
        <v>4.2222222222222223</v>
      </c>
      <c r="P92" s="3" t="s">
        <v>1476</v>
      </c>
      <c r="Q92" s="3">
        <f t="shared" si="14"/>
        <v>2</v>
      </c>
      <c r="R92" s="3">
        <f t="shared" si="15"/>
        <v>0</v>
      </c>
      <c r="S92" s="3">
        <f t="shared" si="16"/>
        <v>-2</v>
      </c>
      <c r="T92" s="3"/>
    </row>
    <row r="93" spans="1:20" ht="15" customHeight="1" x14ac:dyDescent="0.35">
      <c r="A93" t="s">
        <v>1477</v>
      </c>
      <c r="B93" t="s">
        <v>1477</v>
      </c>
      <c r="C93">
        <v>0</v>
      </c>
      <c r="D93">
        <f t="shared" si="17"/>
        <v>0</v>
      </c>
      <c r="F93" s="3" t="s">
        <v>1478</v>
      </c>
      <c r="G93" s="3">
        <v>9</v>
      </c>
      <c r="H93" s="3">
        <v>11</v>
      </c>
      <c r="I93" s="3">
        <v>2</v>
      </c>
      <c r="J93" s="3">
        <v>14</v>
      </c>
      <c r="K93" s="3">
        <v>3</v>
      </c>
      <c r="L93" s="3"/>
      <c r="M93" s="3">
        <f t="shared" si="19"/>
        <v>32</v>
      </c>
      <c r="N93" s="3">
        <f t="shared" si="13"/>
        <v>3.5555555555555554</v>
      </c>
      <c r="O93" s="3">
        <f t="shared" si="18"/>
        <v>4.2222222222222223</v>
      </c>
      <c r="P93" s="3" t="s">
        <v>1479</v>
      </c>
      <c r="Q93" s="3">
        <f t="shared" si="14"/>
        <v>4</v>
      </c>
      <c r="R93" s="3">
        <f t="shared" si="15"/>
        <v>0</v>
      </c>
      <c r="S93" s="3">
        <f t="shared" si="16"/>
        <v>-4</v>
      </c>
      <c r="T93" s="3"/>
    </row>
    <row r="94" spans="1:20" ht="15" customHeight="1" x14ac:dyDescent="0.35">
      <c r="A94" t="s">
        <v>1480</v>
      </c>
      <c r="B94" t="s">
        <v>1480</v>
      </c>
      <c r="C94">
        <v>0</v>
      </c>
      <c r="D94">
        <f t="shared" si="17"/>
        <v>0</v>
      </c>
      <c r="F94" s="3" t="s">
        <v>1175</v>
      </c>
      <c r="G94" s="3">
        <v>5</v>
      </c>
      <c r="H94" s="3">
        <v>9</v>
      </c>
      <c r="I94" s="3"/>
      <c r="J94" s="3">
        <v>8</v>
      </c>
      <c r="K94" s="3">
        <v>1</v>
      </c>
      <c r="L94" s="3"/>
      <c r="M94" s="3">
        <f t="shared" si="19"/>
        <v>20</v>
      </c>
      <c r="N94" s="3">
        <f t="shared" si="13"/>
        <v>4</v>
      </c>
      <c r="O94" s="3">
        <f t="shared" si="18"/>
        <v>4</v>
      </c>
      <c r="P94" s="3" t="s">
        <v>1481</v>
      </c>
      <c r="Q94" s="3">
        <f t="shared" si="14"/>
        <v>2</v>
      </c>
      <c r="R94" s="3">
        <f t="shared" si="15"/>
        <v>0</v>
      </c>
      <c r="S94" s="3">
        <f t="shared" si="16"/>
        <v>-2</v>
      </c>
      <c r="T94" s="3"/>
    </row>
    <row r="95" spans="1:20" ht="15" customHeight="1" x14ac:dyDescent="0.35">
      <c r="A95" t="s">
        <v>1482</v>
      </c>
      <c r="B95" t="s">
        <v>1482</v>
      </c>
      <c r="C95">
        <v>0</v>
      </c>
      <c r="D95">
        <f t="shared" si="17"/>
        <v>0</v>
      </c>
      <c r="F95" s="3" t="s">
        <v>1483</v>
      </c>
      <c r="G95" s="3">
        <v>27</v>
      </c>
      <c r="H95" s="3">
        <v>31</v>
      </c>
      <c r="I95" s="3">
        <v>9</v>
      </c>
      <c r="J95" s="3">
        <v>15</v>
      </c>
      <c r="K95" s="3">
        <v>2</v>
      </c>
      <c r="L95" s="3"/>
      <c r="M95" s="3">
        <f t="shared" si="19"/>
        <v>94</v>
      </c>
      <c r="N95" s="3">
        <f t="shared" si="13"/>
        <v>3.4814814814814814</v>
      </c>
      <c r="O95" s="3">
        <f t="shared" si="18"/>
        <v>4.4814814814814818</v>
      </c>
      <c r="P95" s="3" t="s">
        <v>1484</v>
      </c>
      <c r="Q95" s="3">
        <f t="shared" si="14"/>
        <v>2</v>
      </c>
      <c r="R95" s="3">
        <f t="shared" si="15"/>
        <v>0</v>
      </c>
      <c r="S95" s="3">
        <f t="shared" si="16"/>
        <v>-2</v>
      </c>
      <c r="T95" s="3"/>
    </row>
    <row r="96" spans="1:20" ht="15" customHeight="1" x14ac:dyDescent="0.35">
      <c r="A96" t="s">
        <v>1485</v>
      </c>
      <c r="B96" t="s">
        <v>1485</v>
      </c>
      <c r="C96">
        <v>0</v>
      </c>
      <c r="D96">
        <f t="shared" si="17"/>
        <v>0</v>
      </c>
      <c r="F96" s="3" t="s">
        <v>1486</v>
      </c>
      <c r="G96" s="3">
        <v>27</v>
      </c>
      <c r="H96" s="3">
        <v>33</v>
      </c>
      <c r="I96" s="3">
        <v>9</v>
      </c>
      <c r="J96" s="3">
        <v>15</v>
      </c>
      <c r="K96" s="3">
        <v>2</v>
      </c>
      <c r="L96" s="3"/>
      <c r="M96" s="3">
        <f t="shared" si="19"/>
        <v>96</v>
      </c>
      <c r="N96" s="3">
        <f t="shared" ref="N96:N120" si="20">IF(G96=0,(4*G96+H96-2*J96-3*I96+5*K96-2*L96-S96),(4*G96+H96-2*J96-3*I96+5*K96-2*L96-S96)/G96)</f>
        <v>3.5555555555555554</v>
      </c>
      <c r="O96" s="3">
        <f t="shared" si="18"/>
        <v>4.5555555555555554</v>
      </c>
      <c r="P96" s="3" t="s">
        <v>1487</v>
      </c>
      <c r="Q96" s="3">
        <f t="shared" ref="Q96:Q120" si="21">SUM(LEN($P96)-LEN(SUBSTITUTE($P96,"-","")))/LEN("-")</f>
        <v>2</v>
      </c>
      <c r="R96" s="3">
        <f t="shared" ref="R96:R120" si="22">SUM(LEN($P96)-LEN(SUBSTITUTE($P96,"+","")))/LEN("+")</f>
        <v>0</v>
      </c>
      <c r="S96" s="3">
        <f t="shared" si="16"/>
        <v>-2</v>
      </c>
      <c r="T96" s="3"/>
    </row>
    <row r="97" spans="1:20" ht="15" customHeight="1" x14ac:dyDescent="0.35">
      <c r="A97" t="s">
        <v>1488</v>
      </c>
      <c r="B97" t="s">
        <v>1488</v>
      </c>
      <c r="C97">
        <v>0</v>
      </c>
      <c r="D97">
        <f t="shared" si="17"/>
        <v>0</v>
      </c>
      <c r="F97" s="3" t="s">
        <v>1489</v>
      </c>
      <c r="G97" s="3">
        <v>10</v>
      </c>
      <c r="H97" s="3">
        <v>13</v>
      </c>
      <c r="I97" s="3">
        <v>4</v>
      </c>
      <c r="J97" s="3">
        <v>9</v>
      </c>
      <c r="K97" s="3">
        <v>1</v>
      </c>
      <c r="L97" s="3"/>
      <c r="M97" s="3">
        <f t="shared" si="19"/>
        <v>30</v>
      </c>
      <c r="N97" s="3">
        <f t="shared" si="20"/>
        <v>3</v>
      </c>
      <c r="O97" s="3">
        <f t="shared" si="18"/>
        <v>4.2</v>
      </c>
      <c r="P97" s="3" t="s">
        <v>1490</v>
      </c>
      <c r="Q97" s="3">
        <f t="shared" si="21"/>
        <v>2</v>
      </c>
      <c r="R97" s="3">
        <f t="shared" si="22"/>
        <v>0</v>
      </c>
      <c r="S97" s="3">
        <f t="shared" si="16"/>
        <v>-2</v>
      </c>
      <c r="T97" s="3"/>
    </row>
    <row r="98" spans="1:20" ht="15" customHeight="1" x14ac:dyDescent="0.35">
      <c r="A98" t="s">
        <v>1491</v>
      </c>
      <c r="B98" t="s">
        <v>1491</v>
      </c>
      <c r="C98">
        <v>0</v>
      </c>
      <c r="D98">
        <f t="shared" si="17"/>
        <v>0</v>
      </c>
      <c r="F98" s="3" t="s">
        <v>1492</v>
      </c>
      <c r="G98" s="3">
        <v>15</v>
      </c>
      <c r="H98" s="3">
        <v>25</v>
      </c>
      <c r="I98" s="3"/>
      <c r="J98" s="3">
        <v>7</v>
      </c>
      <c r="K98" s="3">
        <v>2</v>
      </c>
      <c r="L98" s="3"/>
      <c r="M98" s="3">
        <f t="shared" si="19"/>
        <v>84</v>
      </c>
      <c r="N98" s="3">
        <f t="shared" si="20"/>
        <v>5.6</v>
      </c>
      <c r="O98" s="3">
        <f t="shared" si="18"/>
        <v>5.6</v>
      </c>
      <c r="P98" s="3" t="s">
        <v>1493</v>
      </c>
      <c r="Q98" s="3">
        <f t="shared" si="21"/>
        <v>3</v>
      </c>
      <c r="R98" s="3">
        <f t="shared" si="22"/>
        <v>0</v>
      </c>
      <c r="S98" s="3">
        <f t="shared" si="16"/>
        <v>-3</v>
      </c>
      <c r="T98" s="3"/>
    </row>
    <row r="99" spans="1:20" ht="15" customHeight="1" x14ac:dyDescent="0.35">
      <c r="A99" t="s">
        <v>1494</v>
      </c>
      <c r="B99" t="s">
        <v>1494</v>
      </c>
      <c r="C99">
        <v>0</v>
      </c>
      <c r="D99">
        <f t="shared" si="17"/>
        <v>0</v>
      </c>
      <c r="F99" s="3" t="s">
        <v>1495</v>
      </c>
      <c r="G99" s="3">
        <v>25</v>
      </c>
      <c r="H99" s="3">
        <v>41</v>
      </c>
      <c r="I99" s="3"/>
      <c r="J99" s="3">
        <v>7</v>
      </c>
      <c r="K99" s="3">
        <v>2</v>
      </c>
      <c r="L99" s="3"/>
      <c r="M99" s="3">
        <f t="shared" si="19"/>
        <v>140</v>
      </c>
      <c r="N99" s="3">
        <f t="shared" si="20"/>
        <v>5.6</v>
      </c>
      <c r="O99" s="3">
        <f t="shared" si="18"/>
        <v>5.6</v>
      </c>
      <c r="P99" s="3" t="s">
        <v>1496</v>
      </c>
      <c r="Q99" s="3">
        <f t="shared" si="21"/>
        <v>3</v>
      </c>
      <c r="R99" s="3">
        <f t="shared" si="22"/>
        <v>0</v>
      </c>
      <c r="S99" s="3">
        <f t="shared" si="16"/>
        <v>-3</v>
      </c>
      <c r="T99" s="3"/>
    </row>
    <row r="100" spans="1:20" ht="15" customHeight="1" x14ac:dyDescent="0.25">
      <c r="A100" t="s">
        <v>1497</v>
      </c>
      <c r="B100" t="s">
        <v>1497</v>
      </c>
      <c r="C100">
        <v>0</v>
      </c>
      <c r="D100">
        <f t="shared" si="17"/>
        <v>0</v>
      </c>
      <c r="F100" s="3" t="s">
        <v>200</v>
      </c>
      <c r="G100" s="3"/>
      <c r="H100" s="3"/>
      <c r="I100" s="3"/>
      <c r="J100" s="3"/>
      <c r="K100" s="3"/>
      <c r="L100" s="3"/>
      <c r="M100" s="3">
        <f t="shared" si="19"/>
        <v>-1</v>
      </c>
      <c r="N100" s="3">
        <f t="shared" si="20"/>
        <v>-1</v>
      </c>
      <c r="O100" s="3">
        <f t="shared" si="18"/>
        <v>-1</v>
      </c>
      <c r="P100" s="3"/>
      <c r="Q100" s="3">
        <f t="shared" si="21"/>
        <v>0</v>
      </c>
      <c r="R100" s="3">
        <f t="shared" si="22"/>
        <v>0</v>
      </c>
      <c r="S100" s="3">
        <v>1</v>
      </c>
      <c r="T100" s="3"/>
    </row>
    <row r="101" spans="1:20" ht="15" customHeight="1" x14ac:dyDescent="0.25">
      <c r="A101" t="s">
        <v>1498</v>
      </c>
      <c r="B101" t="s">
        <v>1498</v>
      </c>
      <c r="C101">
        <v>0</v>
      </c>
      <c r="D101">
        <f t="shared" si="17"/>
        <v>0</v>
      </c>
      <c r="F101" s="3" t="s">
        <v>200</v>
      </c>
      <c r="G101" s="3"/>
      <c r="H101" s="3"/>
      <c r="I101" s="3"/>
      <c r="J101" s="3"/>
      <c r="K101" s="3"/>
      <c r="L101" s="3"/>
      <c r="M101" s="3">
        <f t="shared" si="19"/>
        <v>0</v>
      </c>
      <c r="N101" s="3">
        <f t="shared" si="20"/>
        <v>0</v>
      </c>
      <c r="O101" s="3">
        <f t="shared" si="18"/>
        <v>0</v>
      </c>
      <c r="P101" s="3"/>
      <c r="Q101" s="3">
        <f t="shared" si="21"/>
        <v>0</v>
      </c>
      <c r="R101" s="3">
        <f t="shared" si="22"/>
        <v>0</v>
      </c>
      <c r="S101" s="3">
        <f t="shared" ref="S101:S120" si="23">R101-Q101</f>
        <v>0</v>
      </c>
      <c r="T101" s="3"/>
    </row>
    <row r="102" spans="1:20" ht="15" customHeight="1" x14ac:dyDescent="0.35">
      <c r="A102" t="s">
        <v>1499</v>
      </c>
      <c r="B102" t="s">
        <v>1499</v>
      </c>
      <c r="C102">
        <v>0</v>
      </c>
      <c r="D102">
        <f t="shared" si="17"/>
        <v>0</v>
      </c>
      <c r="F102" s="3" t="s">
        <v>1500</v>
      </c>
      <c r="G102" s="3">
        <v>8</v>
      </c>
      <c r="H102" s="3">
        <v>15</v>
      </c>
      <c r="I102" s="3">
        <v>3</v>
      </c>
      <c r="J102" s="3">
        <v>8</v>
      </c>
      <c r="K102" s="3">
        <v>1</v>
      </c>
      <c r="L102" s="3"/>
      <c r="M102" s="3">
        <f t="shared" si="19"/>
        <v>28</v>
      </c>
      <c r="N102" s="3">
        <f t="shared" si="20"/>
        <v>3.5</v>
      </c>
      <c r="O102" s="3">
        <f t="shared" si="18"/>
        <v>4.625</v>
      </c>
      <c r="P102" s="3" t="s">
        <v>1501</v>
      </c>
      <c r="Q102" s="3">
        <f t="shared" si="21"/>
        <v>2</v>
      </c>
      <c r="R102" s="3">
        <f t="shared" si="22"/>
        <v>1</v>
      </c>
      <c r="S102" s="3">
        <f t="shared" si="23"/>
        <v>-1</v>
      </c>
      <c r="T102" s="3"/>
    </row>
    <row r="103" spans="1:20" ht="15" customHeight="1" x14ac:dyDescent="0.35">
      <c r="A103" t="s">
        <v>1502</v>
      </c>
      <c r="B103" t="s">
        <v>1502</v>
      </c>
      <c r="C103">
        <v>0</v>
      </c>
      <c r="D103">
        <f t="shared" si="17"/>
        <v>0</v>
      </c>
      <c r="F103" s="3" t="s">
        <v>1236</v>
      </c>
      <c r="G103" s="3">
        <v>1</v>
      </c>
      <c r="H103" s="3">
        <v>2</v>
      </c>
      <c r="I103" s="3"/>
      <c r="J103" s="3">
        <v>1</v>
      </c>
      <c r="K103" s="3"/>
      <c r="L103" s="3"/>
      <c r="M103" s="3">
        <f t="shared" si="19"/>
        <v>4</v>
      </c>
      <c r="N103" s="3">
        <f t="shared" si="20"/>
        <v>4</v>
      </c>
      <c r="O103" s="3">
        <f t="shared" si="18"/>
        <v>4</v>
      </c>
      <c r="P103" s="3" t="s">
        <v>1237</v>
      </c>
      <c r="Q103" s="3">
        <f t="shared" si="21"/>
        <v>0</v>
      </c>
      <c r="R103" s="3">
        <f t="shared" si="22"/>
        <v>0</v>
      </c>
      <c r="S103" s="3">
        <f t="shared" si="23"/>
        <v>0</v>
      </c>
      <c r="T103" s="3"/>
    </row>
    <row r="104" spans="1:20" s="40" customFormat="1" ht="15" customHeight="1" x14ac:dyDescent="0.35">
      <c r="A104" s="40" t="s">
        <v>2053</v>
      </c>
      <c r="B104" s="40" t="s">
        <v>2053</v>
      </c>
      <c r="C104" s="40">
        <v>0</v>
      </c>
      <c r="D104" s="40">
        <f t="shared" si="17"/>
        <v>1</v>
      </c>
      <c r="F104" s="40" t="s">
        <v>1236</v>
      </c>
      <c r="G104" s="40">
        <v>1</v>
      </c>
      <c r="H104" s="40">
        <v>2</v>
      </c>
      <c r="J104" s="40">
        <v>1</v>
      </c>
      <c r="M104" s="40">
        <f t="shared" si="19"/>
        <v>4</v>
      </c>
      <c r="N104" s="40">
        <f t="shared" si="20"/>
        <v>4</v>
      </c>
      <c r="O104" s="40">
        <f t="shared" si="18"/>
        <v>4</v>
      </c>
      <c r="P104" s="40" t="s">
        <v>1237</v>
      </c>
      <c r="Q104" s="40">
        <f t="shared" si="21"/>
        <v>0</v>
      </c>
      <c r="R104" s="40">
        <f t="shared" si="22"/>
        <v>0</v>
      </c>
      <c r="S104" s="40">
        <f t="shared" si="23"/>
        <v>0</v>
      </c>
    </row>
    <row r="105" spans="1:20" ht="15" customHeight="1" x14ac:dyDescent="0.25">
      <c r="A105" t="s">
        <v>1224</v>
      </c>
      <c r="B105" t="s">
        <v>1224</v>
      </c>
      <c r="C105">
        <v>0</v>
      </c>
      <c r="D105">
        <f t="shared" si="17"/>
        <v>0</v>
      </c>
      <c r="F105" s="3" t="s">
        <v>1225</v>
      </c>
      <c r="G105" s="3">
        <v>1</v>
      </c>
      <c r="H105" s="3">
        <v>1</v>
      </c>
      <c r="I105" s="3"/>
      <c r="J105" s="3">
        <v>2</v>
      </c>
      <c r="K105" s="3"/>
      <c r="L105" s="3"/>
      <c r="M105" s="3">
        <f t="shared" si="19"/>
        <v>2</v>
      </c>
      <c r="N105" s="3">
        <f t="shared" si="20"/>
        <v>2</v>
      </c>
      <c r="O105" s="3">
        <f t="shared" si="18"/>
        <v>2</v>
      </c>
      <c r="P105" s="3" t="s">
        <v>1226</v>
      </c>
      <c r="Q105" s="3">
        <f t="shared" si="21"/>
        <v>1</v>
      </c>
      <c r="R105" s="3">
        <f t="shared" si="22"/>
        <v>0</v>
      </c>
      <c r="S105" s="3">
        <f t="shared" si="23"/>
        <v>-1</v>
      </c>
      <c r="T105" s="3"/>
    </row>
    <row r="106" spans="1:20" s="40" customFormat="1" ht="15" customHeight="1" x14ac:dyDescent="0.25">
      <c r="A106" s="40" t="s">
        <v>2052</v>
      </c>
      <c r="B106" s="40" t="s">
        <v>2052</v>
      </c>
      <c r="C106" s="40">
        <v>0</v>
      </c>
      <c r="D106" s="40">
        <f t="shared" si="17"/>
        <v>1</v>
      </c>
      <c r="F106" s="40" t="s">
        <v>1225</v>
      </c>
      <c r="G106" s="40">
        <v>1</v>
      </c>
      <c r="H106" s="40">
        <v>1</v>
      </c>
      <c r="J106" s="40">
        <v>2</v>
      </c>
      <c r="M106" s="40">
        <f t="shared" si="19"/>
        <v>2</v>
      </c>
      <c r="N106" s="40">
        <f t="shared" si="20"/>
        <v>2</v>
      </c>
      <c r="O106" s="40">
        <f t="shared" si="18"/>
        <v>2</v>
      </c>
      <c r="P106" s="40" t="s">
        <v>1226</v>
      </c>
      <c r="Q106" s="40">
        <f t="shared" si="21"/>
        <v>1</v>
      </c>
      <c r="R106" s="40">
        <f t="shared" si="22"/>
        <v>0</v>
      </c>
      <c r="S106" s="40">
        <f t="shared" si="23"/>
        <v>-1</v>
      </c>
    </row>
    <row r="107" spans="1:20" ht="15" customHeight="1" x14ac:dyDescent="0.35">
      <c r="A107" t="s">
        <v>2116</v>
      </c>
      <c r="B107" t="s">
        <v>2116</v>
      </c>
      <c r="C107">
        <v>0</v>
      </c>
      <c r="D107">
        <f t="shared" si="17"/>
        <v>0</v>
      </c>
      <c r="F107" t="s">
        <v>2134</v>
      </c>
      <c r="G107" s="3">
        <v>22</v>
      </c>
      <c r="H107" s="3">
        <v>32</v>
      </c>
      <c r="I107">
        <v>7</v>
      </c>
      <c r="J107" s="3">
        <v>17</v>
      </c>
      <c r="K107" s="3">
        <v>3</v>
      </c>
      <c r="L107" s="3">
        <v>1</v>
      </c>
      <c r="M107" s="3">
        <f t="shared" si="19"/>
        <v>82</v>
      </c>
      <c r="N107" s="3">
        <f t="shared" si="20"/>
        <v>3.7272727272727271</v>
      </c>
      <c r="O107" s="3">
        <f t="shared" si="18"/>
        <v>4.6818181818181817</v>
      </c>
      <c r="P107" s="3" t="s">
        <v>2135</v>
      </c>
      <c r="Q107" s="3">
        <f t="shared" si="21"/>
        <v>4</v>
      </c>
      <c r="R107" s="3">
        <f t="shared" si="22"/>
        <v>0</v>
      </c>
      <c r="S107" s="3">
        <f t="shared" si="23"/>
        <v>-4</v>
      </c>
    </row>
    <row r="108" spans="1:20" ht="15" customHeight="1" x14ac:dyDescent="0.35">
      <c r="A108" t="s">
        <v>1503</v>
      </c>
      <c r="B108" t="s">
        <v>1503</v>
      </c>
      <c r="C108">
        <v>0</v>
      </c>
      <c r="D108">
        <f t="shared" si="17"/>
        <v>0</v>
      </c>
      <c r="F108" s="3" t="s">
        <v>1504</v>
      </c>
      <c r="G108" s="3">
        <v>4</v>
      </c>
      <c r="H108" s="3">
        <v>2</v>
      </c>
      <c r="I108" s="3"/>
      <c r="J108" s="3">
        <v>4</v>
      </c>
      <c r="K108" s="3"/>
      <c r="L108" s="3"/>
      <c r="M108" s="3">
        <f t="shared" si="19"/>
        <v>12</v>
      </c>
      <c r="N108" s="3">
        <f t="shared" si="20"/>
        <v>3</v>
      </c>
      <c r="O108" s="3">
        <f t="shared" si="18"/>
        <v>3</v>
      </c>
      <c r="P108" s="3" t="s">
        <v>1505</v>
      </c>
      <c r="Q108" s="3">
        <f t="shared" si="21"/>
        <v>2</v>
      </c>
      <c r="R108" s="3">
        <f t="shared" si="22"/>
        <v>0</v>
      </c>
      <c r="S108" s="3">
        <f t="shared" si="23"/>
        <v>-2</v>
      </c>
      <c r="T108" s="3"/>
    </row>
    <row r="109" spans="1:20" ht="15" customHeight="1" x14ac:dyDescent="0.35">
      <c r="A109" t="s">
        <v>1506</v>
      </c>
      <c r="B109" t="s">
        <v>1506</v>
      </c>
      <c r="C109">
        <v>0</v>
      </c>
      <c r="D109">
        <f t="shared" si="17"/>
        <v>0</v>
      </c>
      <c r="F109" s="3" t="s">
        <v>1507</v>
      </c>
      <c r="G109" s="3">
        <v>7</v>
      </c>
      <c r="H109" s="3">
        <v>14</v>
      </c>
      <c r="I109" s="3">
        <v>2</v>
      </c>
      <c r="J109" s="3">
        <v>8</v>
      </c>
      <c r="K109" s="3">
        <v>1</v>
      </c>
      <c r="L109" s="3"/>
      <c r="M109" s="3">
        <f t="shared" si="19"/>
        <v>26</v>
      </c>
      <c r="N109" s="3">
        <f t="shared" si="20"/>
        <v>3.7142857142857144</v>
      </c>
      <c r="O109" s="3">
        <f t="shared" si="18"/>
        <v>4.5714285714285712</v>
      </c>
      <c r="P109" s="3" t="s">
        <v>1508</v>
      </c>
      <c r="Q109" s="3">
        <f t="shared" si="21"/>
        <v>2</v>
      </c>
      <c r="R109" s="3">
        <f t="shared" si="22"/>
        <v>1</v>
      </c>
      <c r="S109" s="3">
        <f t="shared" si="23"/>
        <v>-1</v>
      </c>
      <c r="T109" s="3"/>
    </row>
    <row r="110" spans="1:20" ht="15" customHeight="1" x14ac:dyDescent="0.35">
      <c r="A110" t="s">
        <v>1509</v>
      </c>
      <c r="B110" t="s">
        <v>1509</v>
      </c>
      <c r="C110">
        <v>0</v>
      </c>
      <c r="D110">
        <f t="shared" si="17"/>
        <v>0</v>
      </c>
      <c r="F110" s="3" t="s">
        <v>1510</v>
      </c>
      <c r="G110" s="3">
        <v>10</v>
      </c>
      <c r="H110" s="3">
        <v>12</v>
      </c>
      <c r="I110" s="3">
        <v>5</v>
      </c>
      <c r="J110" s="3">
        <v>11</v>
      </c>
      <c r="K110" s="3">
        <v>2</v>
      </c>
      <c r="L110" s="3"/>
      <c r="M110" s="3">
        <f t="shared" si="19"/>
        <v>28</v>
      </c>
      <c r="N110" s="3">
        <f t="shared" si="20"/>
        <v>2.8</v>
      </c>
      <c r="O110" s="3">
        <f t="shared" si="18"/>
        <v>4.3</v>
      </c>
      <c r="P110" s="3" t="s">
        <v>1511</v>
      </c>
      <c r="Q110" s="3">
        <f t="shared" si="21"/>
        <v>3</v>
      </c>
      <c r="R110" s="3">
        <f t="shared" si="22"/>
        <v>0</v>
      </c>
      <c r="S110" s="3">
        <f t="shared" si="23"/>
        <v>-3</v>
      </c>
      <c r="T110" s="3"/>
    </row>
    <row r="111" spans="1:20" ht="15" customHeight="1" x14ac:dyDescent="0.35">
      <c r="A111" t="s">
        <v>1512</v>
      </c>
      <c r="B111" t="s">
        <v>1512</v>
      </c>
      <c r="C111">
        <v>0</v>
      </c>
      <c r="D111">
        <f t="shared" si="17"/>
        <v>0</v>
      </c>
      <c r="F111" s="3" t="s">
        <v>1513</v>
      </c>
      <c r="G111" s="3">
        <v>10</v>
      </c>
      <c r="H111" s="3">
        <v>17</v>
      </c>
      <c r="I111" s="3"/>
      <c r="J111" s="3">
        <v>7</v>
      </c>
      <c r="K111" s="3">
        <v>2</v>
      </c>
      <c r="L111" s="3"/>
      <c r="M111" s="3">
        <f t="shared" si="19"/>
        <v>56</v>
      </c>
      <c r="N111" s="3">
        <f t="shared" si="20"/>
        <v>5.6</v>
      </c>
      <c r="O111" s="3">
        <f t="shared" si="18"/>
        <v>5.6</v>
      </c>
      <c r="P111" s="3" t="s">
        <v>1514</v>
      </c>
      <c r="Q111" s="3">
        <f t="shared" si="21"/>
        <v>3</v>
      </c>
      <c r="R111" s="3">
        <f t="shared" si="22"/>
        <v>0</v>
      </c>
      <c r="S111" s="3">
        <f t="shared" si="23"/>
        <v>-3</v>
      </c>
      <c r="T111" s="3"/>
    </row>
    <row r="112" spans="1:20" ht="15" customHeight="1" x14ac:dyDescent="0.35">
      <c r="A112" t="s">
        <v>1515</v>
      </c>
      <c r="B112" t="s">
        <v>1515</v>
      </c>
      <c r="C112">
        <v>0</v>
      </c>
      <c r="D112">
        <f t="shared" si="17"/>
        <v>0</v>
      </c>
      <c r="F112" s="3" t="s">
        <v>1516</v>
      </c>
      <c r="G112" s="3">
        <v>20</v>
      </c>
      <c r="H112" s="3">
        <v>33</v>
      </c>
      <c r="I112" s="3"/>
      <c r="J112" s="3">
        <v>7</v>
      </c>
      <c r="K112" s="3">
        <v>2</v>
      </c>
      <c r="L112" s="3"/>
      <c r="M112" s="3">
        <f t="shared" si="19"/>
        <v>112</v>
      </c>
      <c r="N112" s="3">
        <f t="shared" si="20"/>
        <v>5.6</v>
      </c>
      <c r="O112" s="3">
        <f t="shared" si="18"/>
        <v>5.6</v>
      </c>
      <c r="P112" s="3" t="s">
        <v>1517</v>
      </c>
      <c r="Q112" s="3">
        <f t="shared" si="21"/>
        <v>3</v>
      </c>
      <c r="R112" s="3">
        <f t="shared" si="22"/>
        <v>0</v>
      </c>
      <c r="S112" s="3">
        <f t="shared" si="23"/>
        <v>-3</v>
      </c>
      <c r="T112" s="3"/>
    </row>
    <row r="113" spans="1:20" ht="15" customHeight="1" x14ac:dyDescent="0.35">
      <c r="A113" t="s">
        <v>1518</v>
      </c>
      <c r="B113" t="s">
        <v>1518</v>
      </c>
      <c r="C113">
        <v>0</v>
      </c>
      <c r="D113">
        <f t="shared" si="17"/>
        <v>0</v>
      </c>
      <c r="F113" s="3" t="s">
        <v>1519</v>
      </c>
      <c r="G113" s="3">
        <v>6</v>
      </c>
      <c r="H113" s="3">
        <v>11</v>
      </c>
      <c r="I113" s="3"/>
      <c r="J113" s="3">
        <v>7</v>
      </c>
      <c r="K113" s="3"/>
      <c r="L113" s="3"/>
      <c r="M113" s="3">
        <f t="shared" si="19"/>
        <v>22</v>
      </c>
      <c r="N113" s="3">
        <f t="shared" si="20"/>
        <v>3.6666666666666665</v>
      </c>
      <c r="O113" s="3">
        <f t="shared" si="18"/>
        <v>3.6666666666666665</v>
      </c>
      <c r="P113" s="3" t="s">
        <v>1520</v>
      </c>
      <c r="Q113" s="3">
        <f t="shared" si="21"/>
        <v>1</v>
      </c>
      <c r="R113" s="3">
        <f t="shared" si="22"/>
        <v>0</v>
      </c>
      <c r="S113" s="3">
        <f t="shared" si="23"/>
        <v>-1</v>
      </c>
      <c r="T113" s="3"/>
    </row>
    <row r="114" spans="1:20" ht="15" customHeight="1" x14ac:dyDescent="0.35">
      <c r="A114" t="s">
        <v>1521</v>
      </c>
      <c r="B114" t="s">
        <v>1521</v>
      </c>
      <c r="C114">
        <v>0</v>
      </c>
      <c r="D114">
        <f t="shared" si="17"/>
        <v>0</v>
      </c>
      <c r="F114" s="3" t="s">
        <v>1307</v>
      </c>
      <c r="G114" s="3">
        <v>6</v>
      </c>
      <c r="H114" s="3">
        <v>11</v>
      </c>
      <c r="I114" s="3"/>
      <c r="J114" s="3">
        <v>9</v>
      </c>
      <c r="K114" s="3">
        <v>1</v>
      </c>
      <c r="L114" s="3"/>
      <c r="M114" s="3">
        <f t="shared" si="19"/>
        <v>24</v>
      </c>
      <c r="N114" s="3">
        <f t="shared" si="20"/>
        <v>4</v>
      </c>
      <c r="O114" s="3">
        <f t="shared" si="18"/>
        <v>4</v>
      </c>
      <c r="P114" s="3" t="s">
        <v>1522</v>
      </c>
      <c r="Q114" s="3">
        <f t="shared" si="21"/>
        <v>2</v>
      </c>
      <c r="R114" s="3">
        <f t="shared" si="22"/>
        <v>0</v>
      </c>
      <c r="S114" s="3">
        <f t="shared" si="23"/>
        <v>-2</v>
      </c>
      <c r="T114" s="3"/>
    </row>
    <row r="115" spans="1:20" ht="15" customHeight="1" x14ac:dyDescent="0.25">
      <c r="A115" t="s">
        <v>1527</v>
      </c>
      <c r="B115" t="s">
        <v>1527</v>
      </c>
      <c r="C115">
        <v>0</v>
      </c>
      <c r="D115">
        <f t="shared" si="17"/>
        <v>0</v>
      </c>
      <c r="F115" s="3" t="s">
        <v>1528</v>
      </c>
      <c r="G115" s="3">
        <v>26</v>
      </c>
      <c r="H115" s="3">
        <v>37</v>
      </c>
      <c r="I115" s="3">
        <v>7</v>
      </c>
      <c r="J115" s="3">
        <v>19</v>
      </c>
      <c r="K115" s="3">
        <v>3</v>
      </c>
      <c r="L115" s="3">
        <v>1</v>
      </c>
      <c r="M115" s="3">
        <f t="shared" si="19"/>
        <v>100</v>
      </c>
      <c r="N115" s="3">
        <f t="shared" si="20"/>
        <v>3.8461538461538463</v>
      </c>
      <c r="O115" s="3">
        <f t="shared" si="18"/>
        <v>4.6538461538461542</v>
      </c>
      <c r="P115" s="3" t="s">
        <v>1529</v>
      </c>
      <c r="Q115" s="3">
        <f t="shared" si="21"/>
        <v>5</v>
      </c>
      <c r="R115" s="3">
        <f t="shared" si="22"/>
        <v>0</v>
      </c>
      <c r="S115" s="3">
        <f t="shared" si="23"/>
        <v>-5</v>
      </c>
      <c r="T115" s="3"/>
    </row>
    <row r="116" spans="1:20" ht="15" customHeight="1" x14ac:dyDescent="0.35">
      <c r="A116" t="s">
        <v>1530</v>
      </c>
      <c r="B116" t="s">
        <v>1530</v>
      </c>
      <c r="C116">
        <v>0</v>
      </c>
      <c r="D116">
        <f t="shared" si="17"/>
        <v>0</v>
      </c>
      <c r="F116" s="3" t="s">
        <v>1451</v>
      </c>
      <c r="G116" s="3">
        <v>3</v>
      </c>
      <c r="H116" s="3">
        <v>5</v>
      </c>
      <c r="I116" s="3"/>
      <c r="J116" s="3">
        <v>6</v>
      </c>
      <c r="K116" s="3">
        <v>1</v>
      </c>
      <c r="L116" s="3"/>
      <c r="M116" s="3">
        <f t="shared" si="19"/>
        <v>12</v>
      </c>
      <c r="N116" s="3">
        <f t="shared" si="20"/>
        <v>4</v>
      </c>
      <c r="O116" s="3">
        <f t="shared" si="18"/>
        <v>4</v>
      </c>
      <c r="P116" s="3" t="s">
        <v>1531</v>
      </c>
      <c r="Q116" s="3">
        <f t="shared" si="21"/>
        <v>2</v>
      </c>
      <c r="R116" s="3">
        <f t="shared" si="22"/>
        <v>0</v>
      </c>
      <c r="S116" s="3">
        <f t="shared" si="23"/>
        <v>-2</v>
      </c>
      <c r="T116" s="3"/>
    </row>
    <row r="117" spans="1:20" ht="15" customHeight="1" x14ac:dyDescent="0.35">
      <c r="A117" t="s">
        <v>753</v>
      </c>
      <c r="B117" t="s">
        <v>753</v>
      </c>
      <c r="C117">
        <v>0</v>
      </c>
      <c r="D117">
        <f t="shared" si="17"/>
        <v>0</v>
      </c>
      <c r="F117" s="3" t="s">
        <v>1532</v>
      </c>
      <c r="G117" s="3">
        <v>2</v>
      </c>
      <c r="H117" s="3">
        <v>5</v>
      </c>
      <c r="I117" s="3">
        <v>1</v>
      </c>
      <c r="J117" s="3">
        <v>2</v>
      </c>
      <c r="K117" s="3"/>
      <c r="L117" s="3"/>
      <c r="M117" s="3">
        <f t="shared" si="19"/>
        <v>6</v>
      </c>
      <c r="N117" s="3">
        <f t="shared" si="20"/>
        <v>3</v>
      </c>
      <c r="O117" s="3">
        <f t="shared" si="18"/>
        <v>4.5</v>
      </c>
      <c r="P117" s="3" t="s">
        <v>1533</v>
      </c>
      <c r="Q117" s="3">
        <f t="shared" si="21"/>
        <v>1</v>
      </c>
      <c r="R117" s="3">
        <f t="shared" si="22"/>
        <v>1</v>
      </c>
      <c r="S117" s="3">
        <f t="shared" si="23"/>
        <v>0</v>
      </c>
      <c r="T117" s="3"/>
    </row>
    <row r="118" spans="1:20" s="40" customFormat="1" ht="15" customHeight="1" x14ac:dyDescent="0.35">
      <c r="A118" s="40" t="s">
        <v>1922</v>
      </c>
      <c r="B118" s="40" t="s">
        <v>1922</v>
      </c>
      <c r="C118" s="40">
        <v>0</v>
      </c>
      <c r="D118" s="40">
        <f t="shared" si="17"/>
        <v>0</v>
      </c>
      <c r="F118" s="40" t="s">
        <v>1532</v>
      </c>
      <c r="G118" s="40">
        <v>2</v>
      </c>
      <c r="H118" s="40">
        <v>5</v>
      </c>
      <c r="I118" s="40">
        <v>1</v>
      </c>
      <c r="J118" s="40">
        <v>2</v>
      </c>
      <c r="M118" s="40">
        <f t="shared" si="19"/>
        <v>6</v>
      </c>
      <c r="N118" s="40">
        <f t="shared" si="20"/>
        <v>3</v>
      </c>
      <c r="O118" s="40">
        <f t="shared" si="18"/>
        <v>4.5</v>
      </c>
      <c r="P118" s="40" t="s">
        <v>1533</v>
      </c>
      <c r="Q118" s="40">
        <f t="shared" si="21"/>
        <v>1</v>
      </c>
      <c r="R118" s="40">
        <f t="shared" si="22"/>
        <v>1</v>
      </c>
      <c r="S118" s="40">
        <f t="shared" si="23"/>
        <v>0</v>
      </c>
    </row>
    <row r="119" spans="1:20" ht="15" customHeight="1" x14ac:dyDescent="0.35">
      <c r="A119" t="s">
        <v>1245</v>
      </c>
      <c r="B119" t="s">
        <v>1245</v>
      </c>
      <c r="C119">
        <v>0</v>
      </c>
      <c r="D119">
        <f t="shared" si="17"/>
        <v>0</v>
      </c>
      <c r="F119" t="s">
        <v>1246</v>
      </c>
      <c r="G119" s="3">
        <v>2</v>
      </c>
      <c r="H119" s="3">
        <v>1</v>
      </c>
      <c r="I119" s="3"/>
      <c r="J119" s="3">
        <v>3</v>
      </c>
      <c r="K119" s="3"/>
      <c r="L119" s="3"/>
      <c r="M119" s="3">
        <f t="shared" si="19"/>
        <v>4</v>
      </c>
      <c r="N119" s="3">
        <f t="shared" si="20"/>
        <v>2</v>
      </c>
      <c r="O119" s="3">
        <f t="shared" si="18"/>
        <v>2</v>
      </c>
      <c r="P119" t="s">
        <v>1247</v>
      </c>
      <c r="Q119" s="3">
        <f t="shared" si="21"/>
        <v>1</v>
      </c>
      <c r="R119" s="3">
        <f t="shared" si="22"/>
        <v>0</v>
      </c>
      <c r="S119" s="3">
        <f t="shared" si="23"/>
        <v>-1</v>
      </c>
      <c r="T119" s="3"/>
    </row>
    <row r="120" spans="1:20" ht="15" customHeight="1" x14ac:dyDescent="0.35">
      <c r="A120" t="s">
        <v>1534</v>
      </c>
      <c r="B120" t="s">
        <v>1534</v>
      </c>
      <c r="C120">
        <v>0</v>
      </c>
      <c r="D120">
        <f t="shared" si="17"/>
        <v>0</v>
      </c>
      <c r="F120" s="3" t="s">
        <v>1535</v>
      </c>
      <c r="G120" s="3">
        <v>10</v>
      </c>
      <c r="H120" s="3">
        <v>12</v>
      </c>
      <c r="I120" s="3">
        <v>5</v>
      </c>
      <c r="J120" s="3">
        <v>8</v>
      </c>
      <c r="K120" s="3">
        <v>1</v>
      </c>
      <c r="L120" s="3"/>
      <c r="M120" s="3">
        <f t="shared" si="19"/>
        <v>28</v>
      </c>
      <c r="N120" s="3">
        <f t="shared" si="20"/>
        <v>2.8</v>
      </c>
      <c r="O120" s="3">
        <f t="shared" si="18"/>
        <v>4.3</v>
      </c>
      <c r="P120" s="3" t="s">
        <v>1536</v>
      </c>
      <c r="Q120" s="3">
        <f t="shared" si="21"/>
        <v>2</v>
      </c>
      <c r="R120" s="3">
        <f t="shared" si="22"/>
        <v>0</v>
      </c>
      <c r="S120" s="3">
        <f t="shared" si="23"/>
        <v>-2</v>
      </c>
      <c r="T120" s="3"/>
    </row>
    <row r="121" spans="1:20" ht="15" customHeight="1" x14ac:dyDescent="0.25">
      <c r="A121" t="s">
        <v>2007</v>
      </c>
      <c r="B121" t="s">
        <v>2007</v>
      </c>
      <c r="C121">
        <v>0</v>
      </c>
      <c r="D121">
        <f t="shared" si="17"/>
        <v>0</v>
      </c>
      <c r="F121" s="3" t="s">
        <v>2006</v>
      </c>
      <c r="G121" s="3">
        <v>10</v>
      </c>
      <c r="H121" s="3">
        <v>12</v>
      </c>
      <c r="I121" s="3">
        <v>5</v>
      </c>
      <c r="J121" s="3">
        <v>8</v>
      </c>
      <c r="K121" s="3">
        <v>1</v>
      </c>
      <c r="L121" s="3"/>
      <c r="M121" s="3">
        <v>28</v>
      </c>
      <c r="N121" s="3">
        <v>2.8</v>
      </c>
      <c r="O121" s="3">
        <f t="shared" si="18"/>
        <v>4.3</v>
      </c>
      <c r="P121" s="3" t="s">
        <v>1536</v>
      </c>
      <c r="Q121" s="3">
        <v>2</v>
      </c>
      <c r="R121" s="3">
        <v>0</v>
      </c>
      <c r="S121" s="3">
        <v>-2</v>
      </c>
      <c r="T121" s="3"/>
    </row>
    <row r="122" spans="1:20" s="40" customFormat="1" ht="15" customHeight="1" x14ac:dyDescent="0.35">
      <c r="A122" s="40" t="s">
        <v>1921</v>
      </c>
      <c r="B122" s="40" t="s">
        <v>1921</v>
      </c>
      <c r="C122" s="40">
        <v>0</v>
      </c>
      <c r="D122" s="40">
        <f t="shared" si="17"/>
        <v>0</v>
      </c>
      <c r="F122" s="40" t="s">
        <v>1535</v>
      </c>
      <c r="G122" s="40">
        <v>10</v>
      </c>
      <c r="H122" s="40">
        <v>12</v>
      </c>
      <c r="I122" s="40">
        <v>5</v>
      </c>
      <c r="J122" s="40">
        <v>8</v>
      </c>
      <c r="K122" s="40">
        <v>1</v>
      </c>
      <c r="M122" s="40">
        <f t="shared" ref="M122:M140" si="24">IF(G122=0,N122,N122*G122)</f>
        <v>28</v>
      </c>
      <c r="N122" s="40">
        <f t="shared" ref="N122:N160" si="25">IF(G122=0,(4*G122+H122-2*J122-3*I122+5*K122-2*L122-S122),(4*G122+H122-2*J122-3*I122+5*K122-2*L122-S122)/G122)</f>
        <v>2.8</v>
      </c>
      <c r="O122" s="40">
        <f t="shared" si="18"/>
        <v>4.3</v>
      </c>
      <c r="P122" s="40" t="s">
        <v>1536</v>
      </c>
      <c r="Q122" s="40">
        <f t="shared" ref="Q122:Q160" si="26">SUM(LEN($P122)-LEN(SUBSTITUTE($P122,"-","")))/LEN("-")</f>
        <v>2</v>
      </c>
      <c r="R122" s="40">
        <f t="shared" ref="R122:R160" si="27">SUM(LEN($P122)-LEN(SUBSTITUTE($P122,"+","")))/LEN("+")</f>
        <v>0</v>
      </c>
      <c r="S122" s="40">
        <f t="shared" ref="S122:S160" si="28">R122-Q122</f>
        <v>-2</v>
      </c>
    </row>
    <row r="123" spans="1:20" ht="15" customHeight="1" x14ac:dyDescent="0.35">
      <c r="A123" t="s">
        <v>1537</v>
      </c>
      <c r="B123" t="s">
        <v>1537</v>
      </c>
      <c r="C123">
        <v>0</v>
      </c>
      <c r="D123">
        <f t="shared" si="17"/>
        <v>0</v>
      </c>
      <c r="F123" s="3" t="s">
        <v>1538</v>
      </c>
      <c r="G123" s="3">
        <v>10</v>
      </c>
      <c r="H123" s="3">
        <v>12</v>
      </c>
      <c r="I123" s="3">
        <v>5</v>
      </c>
      <c r="J123" s="3">
        <v>14</v>
      </c>
      <c r="K123" s="3">
        <v>3</v>
      </c>
      <c r="L123" s="3"/>
      <c r="M123" s="3">
        <f t="shared" si="24"/>
        <v>28</v>
      </c>
      <c r="N123" s="3">
        <f t="shared" si="25"/>
        <v>2.8</v>
      </c>
      <c r="O123" s="3">
        <f t="shared" si="18"/>
        <v>4.3</v>
      </c>
      <c r="P123" s="3" t="s">
        <v>1539</v>
      </c>
      <c r="Q123" s="3">
        <f t="shared" si="26"/>
        <v>4</v>
      </c>
      <c r="R123" s="3">
        <f t="shared" si="27"/>
        <v>0</v>
      </c>
      <c r="S123" s="3">
        <f t="shared" si="28"/>
        <v>-4</v>
      </c>
      <c r="T123" s="3"/>
    </row>
    <row r="124" spans="1:20" ht="15" customHeight="1" x14ac:dyDescent="0.35">
      <c r="A124" t="s">
        <v>1540</v>
      </c>
      <c r="B124" t="s">
        <v>1540</v>
      </c>
      <c r="C124">
        <v>0</v>
      </c>
      <c r="D124">
        <f t="shared" si="17"/>
        <v>0</v>
      </c>
      <c r="F124" s="3" t="s">
        <v>1541</v>
      </c>
      <c r="G124" s="3">
        <v>1</v>
      </c>
      <c r="H124" s="3">
        <v>2</v>
      </c>
      <c r="I124" s="3"/>
      <c r="J124" s="3">
        <v>3</v>
      </c>
      <c r="K124" s="3"/>
      <c r="L124" s="3"/>
      <c r="M124" s="3">
        <f t="shared" si="24"/>
        <v>0</v>
      </c>
      <c r="N124" s="3">
        <f t="shared" si="25"/>
        <v>0</v>
      </c>
      <c r="O124" s="3">
        <f t="shared" si="18"/>
        <v>0</v>
      </c>
      <c r="P124" s="3" t="s">
        <v>1542</v>
      </c>
      <c r="Q124" s="3">
        <f t="shared" si="26"/>
        <v>0</v>
      </c>
      <c r="R124" s="3">
        <f t="shared" si="27"/>
        <v>0</v>
      </c>
      <c r="S124" s="3">
        <f t="shared" si="28"/>
        <v>0</v>
      </c>
      <c r="T124" s="3"/>
    </row>
    <row r="125" spans="1:20" s="40" customFormat="1" ht="15" customHeight="1" x14ac:dyDescent="0.35">
      <c r="A125" s="40" t="s">
        <v>1543</v>
      </c>
      <c r="B125" s="40" t="s">
        <v>1543</v>
      </c>
      <c r="C125" s="40">
        <v>0</v>
      </c>
      <c r="D125" s="40">
        <f t="shared" si="17"/>
        <v>1</v>
      </c>
      <c r="F125" s="40" t="s">
        <v>1243</v>
      </c>
      <c r="H125" s="40">
        <v>2</v>
      </c>
      <c r="J125" s="40">
        <v>1</v>
      </c>
      <c r="M125" s="40">
        <f t="shared" si="24"/>
        <v>0</v>
      </c>
      <c r="N125" s="40">
        <f t="shared" si="25"/>
        <v>0</v>
      </c>
      <c r="O125" s="40">
        <f t="shared" si="18"/>
        <v>0</v>
      </c>
      <c r="P125" s="40" t="s">
        <v>1244</v>
      </c>
      <c r="Q125" s="40">
        <f t="shared" si="26"/>
        <v>0</v>
      </c>
      <c r="R125" s="40">
        <f t="shared" si="27"/>
        <v>0</v>
      </c>
      <c r="S125" s="40">
        <f t="shared" si="28"/>
        <v>0</v>
      </c>
    </row>
    <row r="126" spans="1:20" ht="15" customHeight="1" x14ac:dyDescent="0.35">
      <c r="A126" t="s">
        <v>1544</v>
      </c>
      <c r="B126" t="s">
        <v>1544</v>
      </c>
      <c r="C126">
        <v>0</v>
      </c>
      <c r="D126">
        <f t="shared" si="17"/>
        <v>0</v>
      </c>
      <c r="F126" s="3" t="s">
        <v>1239</v>
      </c>
      <c r="G126" s="3"/>
      <c r="H126" s="3">
        <v>2</v>
      </c>
      <c r="I126" s="3"/>
      <c r="J126" s="3">
        <v>2</v>
      </c>
      <c r="K126" s="3"/>
      <c r="L126" s="3"/>
      <c r="M126" s="3">
        <f t="shared" si="24"/>
        <v>-2</v>
      </c>
      <c r="N126" s="3">
        <f t="shared" si="25"/>
        <v>-2</v>
      </c>
      <c r="O126" s="3">
        <f t="shared" si="18"/>
        <v>-2</v>
      </c>
      <c r="P126" s="3" t="s">
        <v>1240</v>
      </c>
      <c r="Q126" s="3">
        <f t="shared" si="26"/>
        <v>0</v>
      </c>
      <c r="R126" s="3">
        <f t="shared" si="27"/>
        <v>0</v>
      </c>
      <c r="S126" s="3">
        <f t="shared" si="28"/>
        <v>0</v>
      </c>
      <c r="T126" s="3"/>
    </row>
    <row r="127" spans="1:20" s="40" customFormat="1" ht="15" customHeight="1" x14ac:dyDescent="0.35">
      <c r="A127" s="40" t="s">
        <v>1238</v>
      </c>
      <c r="B127" s="40" t="s">
        <v>1238</v>
      </c>
      <c r="C127" s="40">
        <v>0</v>
      </c>
      <c r="D127" s="40">
        <f t="shared" si="17"/>
        <v>1</v>
      </c>
      <c r="F127" s="40" t="s">
        <v>1239</v>
      </c>
      <c r="H127" s="40">
        <v>2</v>
      </c>
      <c r="J127" s="40">
        <v>2</v>
      </c>
      <c r="M127" s="40">
        <f t="shared" si="24"/>
        <v>-2</v>
      </c>
      <c r="N127" s="40">
        <f t="shared" si="25"/>
        <v>-2</v>
      </c>
      <c r="O127" s="40">
        <f t="shared" si="18"/>
        <v>-2</v>
      </c>
      <c r="P127" s="40" t="s">
        <v>1240</v>
      </c>
      <c r="Q127" s="40">
        <f t="shared" si="26"/>
        <v>0</v>
      </c>
      <c r="R127" s="40">
        <f t="shared" si="27"/>
        <v>0</v>
      </c>
      <c r="S127" s="40">
        <f t="shared" si="28"/>
        <v>0</v>
      </c>
    </row>
    <row r="128" spans="1:20" ht="15" customHeight="1" x14ac:dyDescent="0.35">
      <c r="A128" t="s">
        <v>1545</v>
      </c>
      <c r="B128" t="s">
        <v>1545</v>
      </c>
      <c r="C128">
        <v>0</v>
      </c>
      <c r="D128">
        <f t="shared" si="17"/>
        <v>0</v>
      </c>
      <c r="F128" s="3" t="s">
        <v>1242</v>
      </c>
      <c r="G128" s="3"/>
      <c r="H128" s="3">
        <v>2</v>
      </c>
      <c r="I128" s="3"/>
      <c r="J128" s="3"/>
      <c r="K128" s="3"/>
      <c r="L128" s="3">
        <v>1</v>
      </c>
      <c r="M128" s="3">
        <f t="shared" si="24"/>
        <v>0</v>
      </c>
      <c r="N128" s="3">
        <f t="shared" si="25"/>
        <v>0</v>
      </c>
      <c r="O128" s="3">
        <f t="shared" si="18"/>
        <v>0</v>
      </c>
      <c r="P128" s="3" t="s">
        <v>770</v>
      </c>
      <c r="Q128" s="3">
        <f t="shared" si="26"/>
        <v>0</v>
      </c>
      <c r="R128" s="3">
        <f t="shared" si="27"/>
        <v>0</v>
      </c>
      <c r="S128" s="3">
        <f t="shared" si="28"/>
        <v>0</v>
      </c>
      <c r="T128" s="3"/>
    </row>
    <row r="129" spans="1:20" s="40" customFormat="1" ht="15" customHeight="1" x14ac:dyDescent="0.35">
      <c r="A129" s="40" t="s">
        <v>1241</v>
      </c>
      <c r="B129" s="40" t="s">
        <v>1241</v>
      </c>
      <c r="C129" s="40">
        <v>0</v>
      </c>
      <c r="D129" s="40">
        <f t="shared" si="17"/>
        <v>1</v>
      </c>
      <c r="F129" s="40" t="s">
        <v>1242</v>
      </c>
      <c r="H129" s="40">
        <v>2</v>
      </c>
      <c r="L129" s="40">
        <v>1</v>
      </c>
      <c r="M129" s="40">
        <f t="shared" si="24"/>
        <v>0</v>
      </c>
      <c r="N129" s="40">
        <f t="shared" si="25"/>
        <v>0</v>
      </c>
      <c r="O129" s="40">
        <f t="shared" si="18"/>
        <v>0</v>
      </c>
      <c r="P129" s="40" t="s">
        <v>770</v>
      </c>
      <c r="Q129" s="40">
        <f t="shared" si="26"/>
        <v>0</v>
      </c>
      <c r="R129" s="40">
        <f t="shared" si="27"/>
        <v>0</v>
      </c>
      <c r="S129" s="40">
        <f t="shared" si="28"/>
        <v>0</v>
      </c>
    </row>
    <row r="130" spans="1:20" ht="15" customHeight="1" x14ac:dyDescent="0.35">
      <c r="A130" t="s">
        <v>1622</v>
      </c>
      <c r="B130" t="s">
        <v>1622</v>
      </c>
      <c r="C130">
        <v>0</v>
      </c>
      <c r="D130">
        <f t="shared" ref="D130:D193" si="29">IF(OR(EXACT(A130,"formaldehyde_ext"),EXACT(A130,"formate_ext"),EXACT(A130,"Acetate_ext"),EXACT(A130,"CO2_out"),EXACT(A130,"H2O"),EXACT(A130,"H2O2_ext"),EXACT(A130,"H2S_ext"),EXACT(A130,"kg_biomass_EXT"),EXACT(A130,"Maintenance_leak"),EXACT(A130,"NH3_ext"),EXACT(A130,"O2_out"),EXACT(A130,"Phosphate_out"),EXACT(A130,"proton_external"),EXACT(A130,"urea_ext"),EXACT(A130,"myell_DNA_EXT"),EXACT(A130,"myell_biomass_ext")),1,0)</f>
        <v>0</v>
      </c>
      <c r="F130" t="s">
        <v>1623</v>
      </c>
      <c r="G130" s="3">
        <v>1</v>
      </c>
      <c r="H130" s="3">
        <v>1</v>
      </c>
      <c r="I130" s="3"/>
      <c r="J130" s="3">
        <v>3</v>
      </c>
      <c r="K130" s="3"/>
      <c r="L130" s="3"/>
      <c r="M130" s="3">
        <f t="shared" si="24"/>
        <v>0</v>
      </c>
      <c r="N130" s="3">
        <f t="shared" si="25"/>
        <v>0</v>
      </c>
      <c r="O130" s="3">
        <f t="shared" si="18"/>
        <v>0</v>
      </c>
      <c r="P130" t="s">
        <v>1624</v>
      </c>
      <c r="Q130" s="3">
        <f t="shared" si="26"/>
        <v>1</v>
      </c>
      <c r="R130" s="3">
        <f t="shared" si="27"/>
        <v>0</v>
      </c>
      <c r="S130" s="3">
        <f t="shared" si="28"/>
        <v>-1</v>
      </c>
      <c r="T130" s="3"/>
    </row>
    <row r="131" spans="1:20" ht="15" customHeight="1" x14ac:dyDescent="0.35">
      <c r="A131" t="s">
        <v>1546</v>
      </c>
      <c r="B131" t="s">
        <v>1546</v>
      </c>
      <c r="C131">
        <v>0</v>
      </c>
      <c r="D131">
        <f t="shared" si="29"/>
        <v>0</v>
      </c>
      <c r="F131" s="3" t="s">
        <v>1547</v>
      </c>
      <c r="G131" s="3">
        <v>4</v>
      </c>
      <c r="H131" s="3">
        <v>9</v>
      </c>
      <c r="I131" s="3">
        <v>1</v>
      </c>
      <c r="J131" s="3">
        <v>2</v>
      </c>
      <c r="K131" s="3"/>
      <c r="L131" s="3">
        <v>1</v>
      </c>
      <c r="M131" s="3">
        <f t="shared" si="24"/>
        <v>16</v>
      </c>
      <c r="N131" s="3">
        <f t="shared" si="25"/>
        <v>4</v>
      </c>
      <c r="O131" s="3">
        <f t="shared" ref="O131:O194" si="30">IF(G131=0,(4*G131+H131-2*J131+5*K131-2*L131-S131),(4*G131+H131-2*J131+5*K131-2*L131-S131)/G131)</f>
        <v>4.75</v>
      </c>
      <c r="P131" s="3" t="s">
        <v>1548</v>
      </c>
      <c r="Q131" s="3">
        <f t="shared" si="26"/>
        <v>1</v>
      </c>
      <c r="R131" s="3">
        <f t="shared" si="27"/>
        <v>1</v>
      </c>
      <c r="S131" s="3">
        <f t="shared" si="28"/>
        <v>0</v>
      </c>
      <c r="T131" s="3"/>
    </row>
    <row r="132" spans="1:20" ht="15" customHeight="1" x14ac:dyDescent="0.35">
      <c r="A132" t="s">
        <v>1549</v>
      </c>
      <c r="B132" t="s">
        <v>1549</v>
      </c>
      <c r="C132">
        <v>0</v>
      </c>
      <c r="D132">
        <f t="shared" si="29"/>
        <v>0</v>
      </c>
      <c r="F132" s="3" t="s">
        <v>1550</v>
      </c>
      <c r="G132" s="3">
        <v>6</v>
      </c>
      <c r="H132" s="3">
        <v>7</v>
      </c>
      <c r="I132" s="3">
        <v>2</v>
      </c>
      <c r="J132" s="3">
        <v>5</v>
      </c>
      <c r="K132" s="3">
        <v>1</v>
      </c>
      <c r="L132" s="3"/>
      <c r="M132" s="3">
        <f t="shared" si="24"/>
        <v>22</v>
      </c>
      <c r="N132" s="3">
        <f t="shared" si="25"/>
        <v>3.6666666666666665</v>
      </c>
      <c r="O132" s="3">
        <f t="shared" si="30"/>
        <v>4.666666666666667</v>
      </c>
      <c r="P132" s="3" t="s">
        <v>1551</v>
      </c>
      <c r="Q132" s="3">
        <f t="shared" si="26"/>
        <v>2</v>
      </c>
      <c r="R132" s="3">
        <f t="shared" si="27"/>
        <v>0</v>
      </c>
      <c r="S132" s="3">
        <f t="shared" si="28"/>
        <v>-2</v>
      </c>
      <c r="T132" s="3"/>
    </row>
    <row r="133" spans="1:20" ht="15" customHeight="1" x14ac:dyDescent="0.35">
      <c r="A133" t="s">
        <v>1552</v>
      </c>
      <c r="B133" t="s">
        <v>1552</v>
      </c>
      <c r="C133">
        <v>0</v>
      </c>
      <c r="D133">
        <f t="shared" si="29"/>
        <v>0</v>
      </c>
      <c r="F133" s="3" t="s">
        <v>1553</v>
      </c>
      <c r="G133" s="3">
        <v>10</v>
      </c>
      <c r="H133" s="3">
        <v>11</v>
      </c>
      <c r="I133" s="3">
        <v>4</v>
      </c>
      <c r="J133" s="3">
        <v>8</v>
      </c>
      <c r="K133" s="3">
        <v>1</v>
      </c>
      <c r="L133" s="3"/>
      <c r="M133" s="3">
        <f t="shared" si="24"/>
        <v>30</v>
      </c>
      <c r="N133" s="3">
        <f t="shared" si="25"/>
        <v>3</v>
      </c>
      <c r="O133" s="3">
        <f t="shared" si="30"/>
        <v>4.2</v>
      </c>
      <c r="P133" s="3" t="s">
        <v>1554</v>
      </c>
      <c r="Q133" s="3">
        <f t="shared" si="26"/>
        <v>2</v>
      </c>
      <c r="R133" s="3">
        <f t="shared" si="27"/>
        <v>0</v>
      </c>
      <c r="S133" s="3">
        <f t="shared" si="28"/>
        <v>-2</v>
      </c>
      <c r="T133" s="3"/>
    </row>
    <row r="134" spans="1:20" s="26" customFormat="1" ht="15" customHeight="1" x14ac:dyDescent="0.25">
      <c r="A134" t="s">
        <v>1555</v>
      </c>
      <c r="B134" t="s">
        <v>1555</v>
      </c>
      <c r="C134">
        <v>0</v>
      </c>
      <c r="D134">
        <f t="shared" si="29"/>
        <v>0</v>
      </c>
      <c r="E134"/>
      <c r="F134" s="3" t="s">
        <v>1556</v>
      </c>
      <c r="G134" s="3">
        <v>8</v>
      </c>
      <c r="H134" s="3">
        <v>7</v>
      </c>
      <c r="I134" s="3">
        <v>1</v>
      </c>
      <c r="J134" s="3"/>
      <c r="K134" s="3"/>
      <c r="L134" s="3"/>
      <c r="M134" s="3">
        <f t="shared" si="24"/>
        <v>36</v>
      </c>
      <c r="N134" s="3">
        <f t="shared" si="25"/>
        <v>4.5</v>
      </c>
      <c r="O134" s="3">
        <f t="shared" si="30"/>
        <v>4.875</v>
      </c>
      <c r="P134" s="3" t="s">
        <v>1557</v>
      </c>
      <c r="Q134" s="3">
        <f t="shared" si="26"/>
        <v>0</v>
      </c>
      <c r="R134" s="3">
        <f t="shared" si="27"/>
        <v>0</v>
      </c>
      <c r="S134" s="3">
        <f t="shared" si="28"/>
        <v>0</v>
      </c>
      <c r="T134" s="3"/>
    </row>
    <row r="135" spans="1:20" s="26" customFormat="1" ht="15" customHeight="1" x14ac:dyDescent="0.35">
      <c r="A135" t="s">
        <v>1558</v>
      </c>
      <c r="B135" t="s">
        <v>1558</v>
      </c>
      <c r="C135">
        <v>0</v>
      </c>
      <c r="D135">
        <f t="shared" si="29"/>
        <v>0</v>
      </c>
      <c r="E135"/>
      <c r="F135" s="3" t="s">
        <v>1559</v>
      </c>
      <c r="G135" s="3">
        <v>11</v>
      </c>
      <c r="H135" s="3">
        <v>12</v>
      </c>
      <c r="I135" s="3">
        <v>1</v>
      </c>
      <c r="J135" s="3">
        <v>6</v>
      </c>
      <c r="K135" s="3">
        <v>1</v>
      </c>
      <c r="L135" s="3"/>
      <c r="M135" s="3">
        <f t="shared" si="24"/>
        <v>48</v>
      </c>
      <c r="N135" s="3">
        <f t="shared" si="25"/>
        <v>4.3636363636363633</v>
      </c>
      <c r="O135" s="3">
        <f t="shared" si="30"/>
        <v>4.6363636363636367</v>
      </c>
      <c r="P135" s="3" t="s">
        <v>1560</v>
      </c>
      <c r="Q135" s="3">
        <f t="shared" si="26"/>
        <v>2</v>
      </c>
      <c r="R135" s="3">
        <f t="shared" si="27"/>
        <v>0</v>
      </c>
      <c r="S135" s="3">
        <f t="shared" si="28"/>
        <v>-2</v>
      </c>
      <c r="T135" s="3"/>
    </row>
    <row r="136" spans="1:20" ht="15" customHeight="1" x14ac:dyDescent="0.35">
      <c r="A136" t="s">
        <v>2120</v>
      </c>
      <c r="B136" t="s">
        <v>2120</v>
      </c>
      <c r="C136">
        <v>0</v>
      </c>
      <c r="D136">
        <f t="shared" si="29"/>
        <v>0</v>
      </c>
      <c r="F136" t="s">
        <v>2142</v>
      </c>
      <c r="G136" s="3">
        <v>25</v>
      </c>
      <c r="H136" s="3">
        <v>38</v>
      </c>
      <c r="I136">
        <v>7</v>
      </c>
      <c r="J136" s="3">
        <v>17</v>
      </c>
      <c r="K136" s="3">
        <v>3</v>
      </c>
      <c r="L136" s="3">
        <v>1</v>
      </c>
      <c r="M136" s="3">
        <f t="shared" si="24"/>
        <v>100</v>
      </c>
      <c r="N136" s="3">
        <f t="shared" si="25"/>
        <v>4</v>
      </c>
      <c r="O136" s="3">
        <f t="shared" si="30"/>
        <v>4.84</v>
      </c>
      <c r="P136" s="3" t="s">
        <v>2143</v>
      </c>
      <c r="Q136" s="3">
        <f t="shared" si="26"/>
        <v>4</v>
      </c>
      <c r="R136" s="3">
        <f t="shared" si="27"/>
        <v>0</v>
      </c>
      <c r="S136" s="3">
        <f t="shared" si="28"/>
        <v>-4</v>
      </c>
    </row>
    <row r="137" spans="1:20" ht="15" customHeight="1" x14ac:dyDescent="0.35">
      <c r="A137" t="s">
        <v>1561</v>
      </c>
      <c r="B137" t="s">
        <v>1561</v>
      </c>
      <c r="C137">
        <v>0</v>
      </c>
      <c r="D137">
        <f t="shared" si="29"/>
        <v>0</v>
      </c>
      <c r="F137" s="3" t="s">
        <v>1407</v>
      </c>
      <c r="G137" s="3">
        <v>6</v>
      </c>
      <c r="H137" s="3">
        <v>5</v>
      </c>
      <c r="I137" s="3"/>
      <c r="J137" s="3">
        <v>7</v>
      </c>
      <c r="K137" s="3"/>
      <c r="L137" s="3"/>
      <c r="M137" s="3">
        <f t="shared" si="24"/>
        <v>18</v>
      </c>
      <c r="N137" s="3">
        <f t="shared" si="25"/>
        <v>3</v>
      </c>
      <c r="O137" s="3">
        <f t="shared" si="30"/>
        <v>3</v>
      </c>
      <c r="P137" s="3" t="s">
        <v>1562</v>
      </c>
      <c r="Q137" s="3">
        <f t="shared" si="26"/>
        <v>3</v>
      </c>
      <c r="R137" s="3">
        <f t="shared" si="27"/>
        <v>0</v>
      </c>
      <c r="S137" s="3">
        <f t="shared" si="28"/>
        <v>-3</v>
      </c>
      <c r="T137" s="3"/>
    </row>
    <row r="138" spans="1:20" ht="15" customHeight="1" x14ac:dyDescent="0.35">
      <c r="A138" t="s">
        <v>1563</v>
      </c>
      <c r="B138" t="s">
        <v>1563</v>
      </c>
      <c r="C138">
        <v>0</v>
      </c>
      <c r="D138">
        <f t="shared" si="29"/>
        <v>0</v>
      </c>
      <c r="F138" s="3" t="s">
        <v>1460</v>
      </c>
      <c r="G138" s="3">
        <v>5</v>
      </c>
      <c r="H138" s="3">
        <v>9</v>
      </c>
      <c r="I138" s="3"/>
      <c r="J138" s="3">
        <v>7</v>
      </c>
      <c r="K138" s="3">
        <v>2</v>
      </c>
      <c r="L138" s="3"/>
      <c r="M138" s="3">
        <f t="shared" si="24"/>
        <v>28</v>
      </c>
      <c r="N138" s="3">
        <f t="shared" si="25"/>
        <v>5.6</v>
      </c>
      <c r="O138" s="3">
        <f t="shared" si="30"/>
        <v>5.6</v>
      </c>
      <c r="P138" s="3" t="s">
        <v>1564</v>
      </c>
      <c r="Q138" s="3">
        <f t="shared" si="26"/>
        <v>3</v>
      </c>
      <c r="R138" s="3">
        <f t="shared" si="27"/>
        <v>0</v>
      </c>
      <c r="S138" s="3">
        <f t="shared" si="28"/>
        <v>-3</v>
      </c>
      <c r="T138" s="3"/>
    </row>
    <row r="139" spans="1:20" ht="15" customHeight="1" x14ac:dyDescent="0.35">
      <c r="A139" t="s">
        <v>1565</v>
      </c>
      <c r="B139" t="s">
        <v>1565</v>
      </c>
      <c r="C139">
        <v>0</v>
      </c>
      <c r="D139">
        <f t="shared" si="29"/>
        <v>0</v>
      </c>
      <c r="F139" s="3" t="s">
        <v>1566</v>
      </c>
      <c r="G139" s="3">
        <v>5</v>
      </c>
      <c r="H139" s="3">
        <v>9</v>
      </c>
      <c r="I139" s="3"/>
      <c r="J139" s="3">
        <v>4</v>
      </c>
      <c r="K139" s="3">
        <v>1</v>
      </c>
      <c r="L139" s="3"/>
      <c r="M139" s="3">
        <f t="shared" si="24"/>
        <v>28</v>
      </c>
      <c r="N139" s="3">
        <f t="shared" si="25"/>
        <v>5.6</v>
      </c>
      <c r="O139" s="3">
        <f t="shared" si="30"/>
        <v>5.6</v>
      </c>
      <c r="P139" s="3" t="s">
        <v>1567</v>
      </c>
      <c r="Q139" s="3">
        <f t="shared" si="26"/>
        <v>2</v>
      </c>
      <c r="R139" s="3">
        <f t="shared" si="27"/>
        <v>0</v>
      </c>
      <c r="S139" s="3">
        <f t="shared" si="28"/>
        <v>-2</v>
      </c>
      <c r="T139" s="3"/>
    </row>
    <row r="140" spans="1:20" ht="15" customHeight="1" x14ac:dyDescent="0.35">
      <c r="A140" t="s">
        <v>1568</v>
      </c>
      <c r="B140" t="s">
        <v>1568</v>
      </c>
      <c r="C140">
        <v>0</v>
      </c>
      <c r="D140">
        <f t="shared" si="29"/>
        <v>0</v>
      </c>
      <c r="F140" s="3" t="s">
        <v>1293</v>
      </c>
      <c r="G140" s="3">
        <v>26</v>
      </c>
      <c r="H140" s="3">
        <v>40</v>
      </c>
      <c r="I140" s="3">
        <v>7</v>
      </c>
      <c r="J140" s="3">
        <v>17</v>
      </c>
      <c r="K140" s="3">
        <v>3</v>
      </c>
      <c r="L140" s="3">
        <v>1</v>
      </c>
      <c r="M140" s="3">
        <f t="shared" si="24"/>
        <v>106</v>
      </c>
      <c r="N140" s="3">
        <f t="shared" si="25"/>
        <v>4.0769230769230766</v>
      </c>
      <c r="O140" s="3">
        <f t="shared" si="30"/>
        <v>4.884615384615385</v>
      </c>
      <c r="P140" s="3" t="s">
        <v>1569</v>
      </c>
      <c r="Q140" s="3">
        <f t="shared" si="26"/>
        <v>4</v>
      </c>
      <c r="R140" s="3">
        <f t="shared" si="27"/>
        <v>0</v>
      </c>
      <c r="S140" s="3">
        <f t="shared" si="28"/>
        <v>-4</v>
      </c>
      <c r="T140" s="3"/>
    </row>
    <row r="141" spans="1:20" s="3" customFormat="1" ht="15" customHeight="1" x14ac:dyDescent="0.25">
      <c r="A141" s="3" t="s">
        <v>1230</v>
      </c>
      <c r="B141" s="3" t="s">
        <v>1230</v>
      </c>
      <c r="C141" s="3">
        <v>0</v>
      </c>
      <c r="D141" s="3">
        <f t="shared" si="29"/>
        <v>0</v>
      </c>
      <c r="G141" s="3">
        <f>BIOMASS_Geo!N53</f>
        <v>43.822559999999996</v>
      </c>
      <c r="H141" s="3">
        <f>BIOMASS_Geo!O53</f>
        <v>67.787399999999991</v>
      </c>
      <c r="I141" s="3">
        <f>BIOMASS_Geo!P53</f>
        <v>9.0408200000000001</v>
      </c>
      <c r="J141" s="3">
        <f>BIOMASS_Geo!Q53</f>
        <v>15.878239999999998</v>
      </c>
      <c r="K141" s="3">
        <f>BIOMASS_Geo!R53</f>
        <v>0.69599999999999995</v>
      </c>
      <c r="L141" s="3">
        <f>BIOMASS_Geo!S53</f>
        <v>0.1431</v>
      </c>
      <c r="M141" s="3">
        <f>BIOMASS_Geo!T53</f>
        <v>188.2122</v>
      </c>
      <c r="N141" s="3">
        <f t="shared" si="25"/>
        <v>4.2761650620137202</v>
      </c>
      <c r="O141" s="3">
        <f t="shared" si="30"/>
        <v>4.8950805247342917</v>
      </c>
      <c r="Q141" s="3">
        <f t="shared" si="26"/>
        <v>0</v>
      </c>
      <c r="R141" s="3">
        <f t="shared" si="27"/>
        <v>0</v>
      </c>
      <c r="S141" s="3">
        <f t="shared" si="28"/>
        <v>0</v>
      </c>
    </row>
    <row r="142" spans="1:20" s="40" customFormat="1" ht="15" customHeight="1" x14ac:dyDescent="0.25">
      <c r="A142" s="40" t="s">
        <v>1983</v>
      </c>
      <c r="B142" s="40" t="s">
        <v>1983</v>
      </c>
      <c r="C142" s="40">
        <v>0</v>
      </c>
      <c r="D142" s="40">
        <f t="shared" si="29"/>
        <v>1</v>
      </c>
      <c r="G142" s="40">
        <f>BIOMASS_Geo!N53</f>
        <v>43.822559999999996</v>
      </c>
      <c r="H142" s="40">
        <f>BIOMASS_Geo!O53</f>
        <v>67.787399999999991</v>
      </c>
      <c r="I142" s="40">
        <f>BIOMASS_Geo!P53</f>
        <v>9.0408200000000001</v>
      </c>
      <c r="J142" s="40">
        <f>BIOMASS_Geo!Q53</f>
        <v>15.878239999999998</v>
      </c>
      <c r="K142" s="40">
        <f>BIOMASS_Geo!R53</f>
        <v>0.69599999999999995</v>
      </c>
      <c r="L142" s="40">
        <f>BIOMASS_Geo!S53</f>
        <v>0.1431</v>
      </c>
      <c r="M142" s="40">
        <f>BIOMASS_Geo!T53</f>
        <v>188.2122</v>
      </c>
      <c r="N142" s="40">
        <f t="shared" si="25"/>
        <v>4.2761650620137202</v>
      </c>
      <c r="O142" s="40">
        <f t="shared" si="30"/>
        <v>4.8950805247342917</v>
      </c>
      <c r="Q142" s="40">
        <f t="shared" si="26"/>
        <v>0</v>
      </c>
      <c r="R142" s="40">
        <f t="shared" si="27"/>
        <v>0</v>
      </c>
      <c r="S142" s="40">
        <f t="shared" si="28"/>
        <v>0</v>
      </c>
    </row>
    <row r="143" spans="1:20" ht="15" customHeight="1" x14ac:dyDescent="0.35">
      <c r="A143" t="s">
        <v>1029</v>
      </c>
      <c r="B143" t="s">
        <v>1029</v>
      </c>
      <c r="C143">
        <v>0</v>
      </c>
      <c r="D143">
        <f t="shared" si="29"/>
        <v>0</v>
      </c>
      <c r="F143" t="s">
        <v>1637</v>
      </c>
      <c r="G143" s="3">
        <v>3</v>
      </c>
      <c r="H143" s="3">
        <v>5</v>
      </c>
      <c r="J143" s="3">
        <v>3</v>
      </c>
      <c r="M143" s="3">
        <f t="shared" ref="M143:M160" si="31">IF(G143=0,N143,N143*G143)</f>
        <v>12</v>
      </c>
      <c r="N143" s="3">
        <f t="shared" si="25"/>
        <v>4</v>
      </c>
      <c r="O143" s="3">
        <f t="shared" si="30"/>
        <v>4</v>
      </c>
      <c r="P143" t="s">
        <v>1638</v>
      </c>
      <c r="Q143" s="3">
        <f t="shared" si="26"/>
        <v>1</v>
      </c>
      <c r="R143" s="3">
        <f t="shared" si="27"/>
        <v>0</v>
      </c>
      <c r="S143" s="3">
        <f t="shared" si="28"/>
        <v>-1</v>
      </c>
    </row>
    <row r="144" spans="1:20" s="40" customFormat="1" ht="15" customHeight="1" x14ac:dyDescent="0.35">
      <c r="A144" s="40" t="s">
        <v>1942</v>
      </c>
      <c r="B144" s="40" t="s">
        <v>1942</v>
      </c>
      <c r="C144" s="40">
        <v>0</v>
      </c>
      <c r="D144" s="40">
        <f t="shared" si="29"/>
        <v>0</v>
      </c>
      <c r="F144" s="40" t="s">
        <v>1637</v>
      </c>
      <c r="G144" s="40">
        <v>3</v>
      </c>
      <c r="H144" s="40">
        <v>5</v>
      </c>
      <c r="J144" s="40">
        <v>3</v>
      </c>
      <c r="M144" s="40">
        <f t="shared" si="31"/>
        <v>12</v>
      </c>
      <c r="N144" s="40">
        <f t="shared" si="25"/>
        <v>4</v>
      </c>
      <c r="O144" s="40">
        <f t="shared" si="30"/>
        <v>4</v>
      </c>
      <c r="P144" s="40" t="s">
        <v>1638</v>
      </c>
      <c r="Q144" s="40">
        <f t="shared" si="26"/>
        <v>1</v>
      </c>
      <c r="R144" s="40">
        <f t="shared" si="27"/>
        <v>0</v>
      </c>
      <c r="S144" s="40">
        <f t="shared" si="28"/>
        <v>-1</v>
      </c>
    </row>
    <row r="145" spans="1:20" ht="15" customHeight="1" x14ac:dyDescent="0.35">
      <c r="A145" t="s">
        <v>1570</v>
      </c>
      <c r="B145" t="s">
        <v>1570</v>
      </c>
      <c r="C145">
        <v>0</v>
      </c>
      <c r="D145">
        <f t="shared" si="29"/>
        <v>0</v>
      </c>
      <c r="F145" s="3" t="s">
        <v>1372</v>
      </c>
      <c r="G145" s="3">
        <v>3</v>
      </c>
      <c r="H145" s="3">
        <v>7</v>
      </c>
      <c r="I145" s="3">
        <v>1</v>
      </c>
      <c r="J145" s="3">
        <v>2</v>
      </c>
      <c r="K145" s="3"/>
      <c r="L145" s="3"/>
      <c r="M145" s="3">
        <f t="shared" si="31"/>
        <v>12</v>
      </c>
      <c r="N145" s="3">
        <f t="shared" si="25"/>
        <v>4</v>
      </c>
      <c r="O145" s="3">
        <f t="shared" si="30"/>
        <v>5</v>
      </c>
      <c r="P145" s="3" t="s">
        <v>1373</v>
      </c>
      <c r="Q145" s="3">
        <f t="shared" si="26"/>
        <v>1</v>
      </c>
      <c r="R145" s="3">
        <f t="shared" si="27"/>
        <v>1</v>
      </c>
      <c r="S145" s="3">
        <f t="shared" si="28"/>
        <v>0</v>
      </c>
      <c r="T145" s="3"/>
    </row>
    <row r="146" spans="1:20" s="40" customFormat="1" ht="15" customHeight="1" x14ac:dyDescent="0.35">
      <c r="A146" s="40" t="s">
        <v>1923</v>
      </c>
      <c r="B146" s="40" t="s">
        <v>1923</v>
      </c>
      <c r="C146" s="40">
        <v>0</v>
      </c>
      <c r="D146" s="40">
        <f t="shared" si="29"/>
        <v>0</v>
      </c>
      <c r="F146" s="40" t="s">
        <v>1372</v>
      </c>
      <c r="G146" s="40">
        <v>3</v>
      </c>
      <c r="H146" s="40">
        <v>7</v>
      </c>
      <c r="I146" s="40">
        <v>1</v>
      </c>
      <c r="J146" s="40">
        <v>2</v>
      </c>
      <c r="M146" s="40">
        <f t="shared" si="31"/>
        <v>12</v>
      </c>
      <c r="N146" s="40">
        <f t="shared" si="25"/>
        <v>4</v>
      </c>
      <c r="O146" s="40">
        <f t="shared" si="30"/>
        <v>5</v>
      </c>
      <c r="P146" s="40" t="s">
        <v>1373</v>
      </c>
      <c r="Q146" s="40">
        <f t="shared" si="26"/>
        <v>1</v>
      </c>
      <c r="R146" s="40">
        <f t="shared" si="27"/>
        <v>1</v>
      </c>
      <c r="S146" s="40">
        <f t="shared" si="28"/>
        <v>0</v>
      </c>
    </row>
    <row r="147" spans="1:20" ht="15" customHeight="1" x14ac:dyDescent="0.35">
      <c r="A147" t="s">
        <v>1571</v>
      </c>
      <c r="B147" t="s">
        <v>1571</v>
      </c>
      <c r="C147">
        <v>0</v>
      </c>
      <c r="D147">
        <f t="shared" si="29"/>
        <v>0</v>
      </c>
      <c r="F147" s="3" t="s">
        <v>1572</v>
      </c>
      <c r="G147" s="3">
        <v>6</v>
      </c>
      <c r="H147" s="3">
        <v>15</v>
      </c>
      <c r="I147" s="3">
        <v>4</v>
      </c>
      <c r="J147" s="3">
        <v>2</v>
      </c>
      <c r="K147" s="3"/>
      <c r="L147" s="3"/>
      <c r="M147" s="3">
        <f t="shared" si="31"/>
        <v>22</v>
      </c>
      <c r="N147" s="3">
        <f t="shared" si="25"/>
        <v>3.6666666666666665</v>
      </c>
      <c r="O147" s="3">
        <f t="shared" si="30"/>
        <v>5.666666666666667</v>
      </c>
      <c r="P147" s="3" t="s">
        <v>1573</v>
      </c>
      <c r="Q147" s="3">
        <f t="shared" si="26"/>
        <v>1</v>
      </c>
      <c r="R147" s="3">
        <f t="shared" si="27"/>
        <v>2</v>
      </c>
      <c r="S147" s="3">
        <f t="shared" si="28"/>
        <v>1</v>
      </c>
      <c r="T147" s="3"/>
    </row>
    <row r="148" spans="1:20" s="40" customFormat="1" ht="15" customHeight="1" x14ac:dyDescent="0.35">
      <c r="A148" s="40" t="s">
        <v>1924</v>
      </c>
      <c r="B148" s="40" t="s">
        <v>1924</v>
      </c>
      <c r="C148" s="40">
        <v>0</v>
      </c>
      <c r="D148" s="40">
        <f t="shared" si="29"/>
        <v>0</v>
      </c>
      <c r="F148" s="40" t="s">
        <v>1572</v>
      </c>
      <c r="G148" s="40">
        <v>6</v>
      </c>
      <c r="H148" s="40">
        <v>15</v>
      </c>
      <c r="I148" s="40">
        <v>4</v>
      </c>
      <c r="J148" s="40">
        <v>2</v>
      </c>
      <c r="M148" s="40">
        <f t="shared" si="31"/>
        <v>22</v>
      </c>
      <c r="N148" s="40">
        <f t="shared" si="25"/>
        <v>3.6666666666666665</v>
      </c>
      <c r="O148" s="40">
        <f t="shared" si="30"/>
        <v>5.666666666666667</v>
      </c>
      <c r="P148" s="40" t="s">
        <v>1573</v>
      </c>
      <c r="Q148" s="40">
        <f t="shared" si="26"/>
        <v>1</v>
      </c>
      <c r="R148" s="40">
        <f t="shared" si="27"/>
        <v>2</v>
      </c>
      <c r="S148" s="40">
        <f t="shared" si="28"/>
        <v>1</v>
      </c>
    </row>
    <row r="149" spans="1:20" ht="15" customHeight="1" x14ac:dyDescent="0.35">
      <c r="A149" t="s">
        <v>1574</v>
      </c>
      <c r="B149" t="s">
        <v>1574</v>
      </c>
      <c r="C149">
        <v>0</v>
      </c>
      <c r="D149">
        <f t="shared" si="29"/>
        <v>0</v>
      </c>
      <c r="F149" s="3" t="s">
        <v>1575</v>
      </c>
      <c r="G149" s="3">
        <v>10</v>
      </c>
      <c r="H149" s="3">
        <v>17</v>
      </c>
      <c r="I149" s="3">
        <v>4</v>
      </c>
      <c r="J149" s="3">
        <v>6</v>
      </c>
      <c r="K149" s="3"/>
      <c r="L149" s="3"/>
      <c r="M149" s="3">
        <f t="shared" si="31"/>
        <v>34</v>
      </c>
      <c r="N149" s="3">
        <f t="shared" si="25"/>
        <v>3.4</v>
      </c>
      <c r="O149" s="3">
        <f t="shared" si="30"/>
        <v>4.5999999999999996</v>
      </c>
      <c r="P149" s="3" t="s">
        <v>1576</v>
      </c>
      <c r="Q149" s="3">
        <f t="shared" si="26"/>
        <v>3</v>
      </c>
      <c r="R149" s="3">
        <f t="shared" si="27"/>
        <v>2</v>
      </c>
      <c r="S149" s="3">
        <f t="shared" si="28"/>
        <v>-1</v>
      </c>
      <c r="T149" s="3"/>
    </row>
    <row r="150" spans="1:20" ht="15" customHeight="1" x14ac:dyDescent="0.35">
      <c r="A150" t="s">
        <v>1577</v>
      </c>
      <c r="B150" t="s">
        <v>1577</v>
      </c>
      <c r="C150">
        <v>0</v>
      </c>
      <c r="D150">
        <f t="shared" si="29"/>
        <v>0</v>
      </c>
      <c r="F150" s="3" t="s">
        <v>1383</v>
      </c>
      <c r="G150" s="3">
        <v>4</v>
      </c>
      <c r="H150" s="3">
        <v>8</v>
      </c>
      <c r="I150" s="3">
        <v>2</v>
      </c>
      <c r="J150" s="3">
        <v>3</v>
      </c>
      <c r="K150" s="3"/>
      <c r="L150" s="3"/>
      <c r="M150" s="3">
        <f t="shared" si="31"/>
        <v>12</v>
      </c>
      <c r="N150" s="3">
        <f t="shared" si="25"/>
        <v>3</v>
      </c>
      <c r="O150" s="3">
        <f t="shared" si="30"/>
        <v>4.5</v>
      </c>
      <c r="P150" s="3" t="s">
        <v>1384</v>
      </c>
      <c r="Q150" s="3">
        <f t="shared" si="26"/>
        <v>1</v>
      </c>
      <c r="R150" s="3">
        <f t="shared" si="27"/>
        <v>1</v>
      </c>
      <c r="S150" s="3">
        <f t="shared" si="28"/>
        <v>0</v>
      </c>
      <c r="T150" s="3"/>
    </row>
    <row r="151" spans="1:20" s="40" customFormat="1" ht="15" customHeight="1" x14ac:dyDescent="0.35">
      <c r="A151" s="40" t="s">
        <v>1925</v>
      </c>
      <c r="B151" s="40" t="s">
        <v>1925</v>
      </c>
      <c r="C151" s="40">
        <v>0</v>
      </c>
      <c r="D151" s="40">
        <f t="shared" si="29"/>
        <v>0</v>
      </c>
      <c r="F151" s="40" t="s">
        <v>1383</v>
      </c>
      <c r="G151" s="40">
        <v>4</v>
      </c>
      <c r="H151" s="40">
        <v>8</v>
      </c>
      <c r="I151" s="40">
        <v>2</v>
      </c>
      <c r="J151" s="40">
        <v>3</v>
      </c>
      <c r="M151" s="40">
        <f t="shared" si="31"/>
        <v>12</v>
      </c>
      <c r="N151" s="40">
        <f t="shared" si="25"/>
        <v>3</v>
      </c>
      <c r="O151" s="40">
        <f t="shared" si="30"/>
        <v>4.5</v>
      </c>
      <c r="P151" s="40" t="s">
        <v>1384</v>
      </c>
      <c r="Q151" s="40">
        <f t="shared" si="26"/>
        <v>1</v>
      </c>
      <c r="R151" s="40">
        <f t="shared" si="27"/>
        <v>1</v>
      </c>
      <c r="S151" s="40">
        <f t="shared" si="28"/>
        <v>0</v>
      </c>
    </row>
    <row r="152" spans="1:20" ht="15" customHeight="1" x14ac:dyDescent="0.35">
      <c r="A152" t="s">
        <v>1578</v>
      </c>
      <c r="B152" t="s">
        <v>1578</v>
      </c>
      <c r="C152">
        <v>0</v>
      </c>
      <c r="D152">
        <f t="shared" si="29"/>
        <v>0</v>
      </c>
      <c r="F152" s="3" t="s">
        <v>1385</v>
      </c>
      <c r="G152" s="3">
        <v>4</v>
      </c>
      <c r="H152" s="3">
        <v>6</v>
      </c>
      <c r="I152" s="3">
        <v>1</v>
      </c>
      <c r="J152" s="3">
        <v>4</v>
      </c>
      <c r="K152" s="3"/>
      <c r="L152" s="3"/>
      <c r="M152" s="3">
        <f t="shared" si="31"/>
        <v>12</v>
      </c>
      <c r="N152" s="3">
        <f t="shared" si="25"/>
        <v>3</v>
      </c>
      <c r="O152" s="3">
        <f t="shared" si="30"/>
        <v>3.75</v>
      </c>
      <c r="P152" s="3" t="s">
        <v>1386</v>
      </c>
      <c r="Q152" s="3">
        <f t="shared" si="26"/>
        <v>2</v>
      </c>
      <c r="R152" s="3">
        <f t="shared" si="27"/>
        <v>1</v>
      </c>
      <c r="S152" s="3">
        <f t="shared" si="28"/>
        <v>-1</v>
      </c>
      <c r="T152" s="3"/>
    </row>
    <row r="153" spans="1:20" s="40" customFormat="1" ht="15" customHeight="1" x14ac:dyDescent="0.35">
      <c r="A153" s="40" t="s">
        <v>1926</v>
      </c>
      <c r="B153" s="40" t="s">
        <v>1926</v>
      </c>
      <c r="C153" s="40">
        <v>0</v>
      </c>
      <c r="D153" s="40">
        <f t="shared" si="29"/>
        <v>0</v>
      </c>
      <c r="F153" s="40" t="s">
        <v>1385</v>
      </c>
      <c r="G153" s="40">
        <v>4</v>
      </c>
      <c r="H153" s="40">
        <v>6</v>
      </c>
      <c r="I153" s="40">
        <v>1</v>
      </c>
      <c r="J153" s="40">
        <v>4</v>
      </c>
      <c r="M153" s="40">
        <f t="shared" si="31"/>
        <v>12</v>
      </c>
      <c r="N153" s="40">
        <f t="shared" si="25"/>
        <v>3</v>
      </c>
      <c r="O153" s="40">
        <f t="shared" si="30"/>
        <v>3.75</v>
      </c>
      <c r="P153" s="40" t="s">
        <v>1386</v>
      </c>
      <c r="Q153" s="40">
        <f t="shared" si="26"/>
        <v>2</v>
      </c>
      <c r="R153" s="40">
        <f t="shared" si="27"/>
        <v>1</v>
      </c>
      <c r="S153" s="40">
        <f t="shared" si="28"/>
        <v>-1</v>
      </c>
    </row>
    <row r="154" spans="1:20" ht="15" customHeight="1" x14ac:dyDescent="0.35">
      <c r="A154" t="s">
        <v>1579</v>
      </c>
      <c r="B154" t="s">
        <v>1579</v>
      </c>
      <c r="C154">
        <v>0</v>
      </c>
      <c r="D154">
        <f t="shared" si="29"/>
        <v>0</v>
      </c>
      <c r="F154" s="3" t="s">
        <v>1580</v>
      </c>
      <c r="G154" s="3">
        <v>4</v>
      </c>
      <c r="H154" s="3">
        <v>7</v>
      </c>
      <c r="I154" s="3">
        <v>1</v>
      </c>
      <c r="J154" s="3">
        <v>3</v>
      </c>
      <c r="K154" s="3"/>
      <c r="L154" s="3"/>
      <c r="M154" s="3">
        <f t="shared" si="31"/>
        <v>14</v>
      </c>
      <c r="N154" s="3">
        <f t="shared" si="25"/>
        <v>3.5</v>
      </c>
      <c r="O154" s="3">
        <f t="shared" si="30"/>
        <v>4.25</v>
      </c>
      <c r="P154" s="3" t="s">
        <v>1581</v>
      </c>
      <c r="Q154" s="3">
        <f t="shared" si="26"/>
        <v>1</v>
      </c>
      <c r="R154" s="3">
        <f t="shared" si="27"/>
        <v>1</v>
      </c>
      <c r="S154" s="3">
        <f t="shared" si="28"/>
        <v>0</v>
      </c>
      <c r="T154" s="3"/>
    </row>
    <row r="155" spans="1:20" ht="15" customHeight="1" x14ac:dyDescent="0.35">
      <c r="A155" t="s">
        <v>1582</v>
      </c>
      <c r="B155" t="s">
        <v>1582</v>
      </c>
      <c r="C155">
        <v>0</v>
      </c>
      <c r="D155">
        <f t="shared" si="29"/>
        <v>0</v>
      </c>
      <c r="F155" s="3" t="s">
        <v>1423</v>
      </c>
      <c r="G155" s="3">
        <v>3</v>
      </c>
      <c r="H155" s="3">
        <v>7</v>
      </c>
      <c r="I155" s="3">
        <v>1</v>
      </c>
      <c r="J155" s="3">
        <v>2</v>
      </c>
      <c r="K155" s="3"/>
      <c r="L155" s="3">
        <v>1</v>
      </c>
      <c r="M155" s="3">
        <f t="shared" si="31"/>
        <v>10</v>
      </c>
      <c r="N155" s="3">
        <f t="shared" si="25"/>
        <v>3.3333333333333335</v>
      </c>
      <c r="O155" s="3">
        <f t="shared" si="30"/>
        <v>4.333333333333333</v>
      </c>
      <c r="P155" s="3" t="s">
        <v>1424</v>
      </c>
      <c r="Q155" s="3">
        <f t="shared" si="26"/>
        <v>1</v>
      </c>
      <c r="R155" s="3">
        <f t="shared" si="27"/>
        <v>1</v>
      </c>
      <c r="S155" s="3">
        <f t="shared" si="28"/>
        <v>0</v>
      </c>
      <c r="T155" s="3"/>
    </row>
    <row r="156" spans="1:20" s="40" customFormat="1" ht="15" customHeight="1" x14ac:dyDescent="0.35">
      <c r="A156" s="40" t="s">
        <v>1927</v>
      </c>
      <c r="B156" s="40" t="s">
        <v>1927</v>
      </c>
      <c r="C156" s="40">
        <v>0</v>
      </c>
      <c r="D156" s="40">
        <f t="shared" si="29"/>
        <v>0</v>
      </c>
      <c r="F156" s="40" t="s">
        <v>1423</v>
      </c>
      <c r="G156" s="40">
        <v>3</v>
      </c>
      <c r="H156" s="40">
        <v>7</v>
      </c>
      <c r="I156" s="40">
        <v>1</v>
      </c>
      <c r="J156" s="40">
        <v>2</v>
      </c>
      <c r="L156" s="40">
        <v>1</v>
      </c>
      <c r="M156" s="40">
        <f t="shared" si="31"/>
        <v>10</v>
      </c>
      <c r="N156" s="40">
        <f t="shared" si="25"/>
        <v>3.3333333333333335</v>
      </c>
      <c r="O156" s="40">
        <f t="shared" si="30"/>
        <v>4.333333333333333</v>
      </c>
      <c r="P156" s="40" t="s">
        <v>1424</v>
      </c>
      <c r="Q156" s="40">
        <f t="shared" si="26"/>
        <v>1</v>
      </c>
      <c r="R156" s="40">
        <f t="shared" si="27"/>
        <v>1</v>
      </c>
      <c r="S156" s="40">
        <f t="shared" si="28"/>
        <v>0</v>
      </c>
    </row>
    <row r="157" spans="1:20" ht="15" customHeight="1" x14ac:dyDescent="0.35">
      <c r="A157" t="s">
        <v>1583</v>
      </c>
      <c r="B157" t="s">
        <v>1583</v>
      </c>
      <c r="C157">
        <v>0</v>
      </c>
      <c r="D157">
        <f t="shared" si="29"/>
        <v>0</v>
      </c>
      <c r="F157" s="3" t="s">
        <v>1523</v>
      </c>
      <c r="G157" s="3">
        <v>5</v>
      </c>
      <c r="H157" s="3">
        <v>8</v>
      </c>
      <c r="I157" s="3">
        <v>1</v>
      </c>
      <c r="J157" s="3">
        <v>4</v>
      </c>
      <c r="K157" s="3"/>
      <c r="L157" s="3"/>
      <c r="M157" s="3">
        <f t="shared" si="31"/>
        <v>18</v>
      </c>
      <c r="N157" s="3">
        <f t="shared" si="25"/>
        <v>3.6</v>
      </c>
      <c r="O157" s="3">
        <f t="shared" si="30"/>
        <v>4.2</v>
      </c>
      <c r="P157" s="3" t="s">
        <v>1524</v>
      </c>
      <c r="Q157" s="3">
        <f t="shared" si="26"/>
        <v>2</v>
      </c>
      <c r="R157" s="3">
        <f t="shared" si="27"/>
        <v>1</v>
      </c>
      <c r="S157" s="3">
        <f t="shared" si="28"/>
        <v>-1</v>
      </c>
      <c r="T157" s="3"/>
    </row>
    <row r="158" spans="1:20" s="40" customFormat="1" ht="15" customHeight="1" x14ac:dyDescent="0.35">
      <c r="A158" s="40" t="s">
        <v>1928</v>
      </c>
      <c r="B158" s="40" t="s">
        <v>1928</v>
      </c>
      <c r="C158" s="40">
        <v>0</v>
      </c>
      <c r="D158" s="40">
        <f t="shared" si="29"/>
        <v>0</v>
      </c>
      <c r="F158" s="40" t="s">
        <v>1523</v>
      </c>
      <c r="G158" s="40">
        <v>5</v>
      </c>
      <c r="H158" s="40">
        <v>8</v>
      </c>
      <c r="I158" s="40">
        <v>1</v>
      </c>
      <c r="J158" s="40">
        <v>4</v>
      </c>
      <c r="M158" s="40">
        <f t="shared" si="31"/>
        <v>18</v>
      </c>
      <c r="N158" s="40">
        <f t="shared" si="25"/>
        <v>3.6</v>
      </c>
      <c r="O158" s="40">
        <f t="shared" si="30"/>
        <v>4.2</v>
      </c>
      <c r="P158" s="40" t="s">
        <v>1524</v>
      </c>
      <c r="Q158" s="40">
        <f t="shared" si="26"/>
        <v>2</v>
      </c>
      <c r="R158" s="40">
        <f t="shared" si="27"/>
        <v>1</v>
      </c>
      <c r="S158" s="40">
        <f t="shared" si="28"/>
        <v>-1</v>
      </c>
    </row>
    <row r="159" spans="1:20" ht="15" customHeight="1" x14ac:dyDescent="0.35">
      <c r="A159" t="s">
        <v>1584</v>
      </c>
      <c r="B159" t="s">
        <v>1584</v>
      </c>
      <c r="C159">
        <v>0</v>
      </c>
      <c r="D159">
        <f t="shared" si="29"/>
        <v>0</v>
      </c>
      <c r="F159" s="3" t="s">
        <v>1585</v>
      </c>
      <c r="G159" s="3">
        <v>5</v>
      </c>
      <c r="H159" s="3">
        <v>9</v>
      </c>
      <c r="I159" s="3">
        <v>1</v>
      </c>
      <c r="J159" s="3">
        <v>3</v>
      </c>
      <c r="K159" s="3"/>
      <c r="L159" s="3"/>
      <c r="M159" s="3">
        <f t="shared" si="31"/>
        <v>20</v>
      </c>
      <c r="N159" s="3">
        <f t="shared" si="25"/>
        <v>4</v>
      </c>
      <c r="O159" s="3">
        <f t="shared" si="30"/>
        <v>4.5999999999999996</v>
      </c>
      <c r="P159" s="3" t="s">
        <v>1586</v>
      </c>
      <c r="Q159" s="3">
        <f t="shared" si="26"/>
        <v>1</v>
      </c>
      <c r="R159" s="3">
        <f t="shared" si="27"/>
        <v>1</v>
      </c>
      <c r="S159" s="3">
        <f t="shared" si="28"/>
        <v>0</v>
      </c>
      <c r="T159" s="3"/>
    </row>
    <row r="160" spans="1:20" ht="15" customHeight="1" x14ac:dyDescent="0.35">
      <c r="A160" t="s">
        <v>1587</v>
      </c>
      <c r="B160" t="s">
        <v>1587</v>
      </c>
      <c r="C160">
        <v>0</v>
      </c>
      <c r="D160">
        <f t="shared" si="29"/>
        <v>0</v>
      </c>
      <c r="F160" s="3" t="s">
        <v>1525</v>
      </c>
      <c r="G160" s="3">
        <v>5</v>
      </c>
      <c r="H160" s="3">
        <v>10</v>
      </c>
      <c r="I160" s="3">
        <v>2</v>
      </c>
      <c r="J160" s="3">
        <v>3</v>
      </c>
      <c r="K160" s="3"/>
      <c r="L160" s="3"/>
      <c r="M160" s="3">
        <f t="shared" si="31"/>
        <v>18</v>
      </c>
      <c r="N160" s="3">
        <f t="shared" si="25"/>
        <v>3.6</v>
      </c>
      <c r="O160" s="3">
        <f t="shared" si="30"/>
        <v>4.8</v>
      </c>
      <c r="P160" s="3" t="s">
        <v>1526</v>
      </c>
      <c r="Q160" s="3">
        <f t="shared" si="26"/>
        <v>1</v>
      </c>
      <c r="R160" s="3">
        <f t="shared" si="27"/>
        <v>1</v>
      </c>
      <c r="S160" s="3">
        <f t="shared" si="28"/>
        <v>0</v>
      </c>
      <c r="T160" s="3"/>
    </row>
    <row r="161" spans="1:20" s="40" customFormat="1" ht="15" customHeight="1" x14ac:dyDescent="0.35">
      <c r="A161" s="40" t="s">
        <v>1929</v>
      </c>
      <c r="B161" s="40" t="s">
        <v>1929</v>
      </c>
      <c r="C161" s="40">
        <v>0</v>
      </c>
      <c r="D161" s="40">
        <f t="shared" si="29"/>
        <v>0</v>
      </c>
      <c r="F161" s="40" t="s">
        <v>1525</v>
      </c>
      <c r="G161" s="40">
        <v>5</v>
      </c>
      <c r="H161" s="40">
        <v>10</v>
      </c>
      <c r="I161" s="40">
        <v>2</v>
      </c>
      <c r="J161" s="40">
        <v>3</v>
      </c>
      <c r="M161" s="40">
        <v>18</v>
      </c>
      <c r="N161" s="40">
        <v>3.6</v>
      </c>
      <c r="O161" s="40">
        <f t="shared" si="30"/>
        <v>4.8</v>
      </c>
      <c r="P161" s="40" t="s">
        <v>1526</v>
      </c>
      <c r="Q161" s="40">
        <v>1</v>
      </c>
      <c r="R161" s="40">
        <v>1</v>
      </c>
      <c r="S161" s="40">
        <v>0</v>
      </c>
    </row>
    <row r="162" spans="1:20" ht="15" customHeight="1" x14ac:dyDescent="0.35">
      <c r="A162" t="s">
        <v>1039</v>
      </c>
      <c r="B162" t="s">
        <v>1039</v>
      </c>
      <c r="C162">
        <v>0</v>
      </c>
      <c r="D162">
        <f t="shared" si="29"/>
        <v>0</v>
      </c>
      <c r="F162" s="3" t="s">
        <v>1040</v>
      </c>
      <c r="G162" s="3">
        <v>6</v>
      </c>
      <c r="H162" s="3">
        <v>10</v>
      </c>
      <c r="I162" s="3">
        <v>3</v>
      </c>
      <c r="J162" s="3">
        <v>1</v>
      </c>
      <c r="K162" s="3"/>
      <c r="L162" s="3"/>
      <c r="M162" s="3">
        <f>IF(G162=0,N162,N162*G162)</f>
        <v>22</v>
      </c>
      <c r="N162" s="3">
        <f>IF(G162=0,(4*G162+H162-2*J162-3*I162+5*K162-2*L162-S162),(4*G162+H162-2*J162-3*I162+5*K162-2*L162-S162)/G162)</f>
        <v>3.6666666666666665</v>
      </c>
      <c r="O162" s="3">
        <f t="shared" si="30"/>
        <v>5.166666666666667</v>
      </c>
      <c r="P162" s="3" t="s">
        <v>1041</v>
      </c>
      <c r="Q162" s="3">
        <f>SUM(LEN($P162)-LEN(SUBSTITUTE($P162,"-","")))/LEN("-")</f>
        <v>0</v>
      </c>
      <c r="R162" s="3">
        <f>SUM(LEN($P162)-LEN(SUBSTITUTE($P162,"+","")))/LEN("+")</f>
        <v>1</v>
      </c>
      <c r="S162" s="3">
        <f>R162-Q162</f>
        <v>1</v>
      </c>
      <c r="T162" s="3"/>
    </row>
    <row r="163" spans="1:20" ht="15" customHeight="1" x14ac:dyDescent="0.35">
      <c r="A163" t="s">
        <v>1042</v>
      </c>
      <c r="B163" t="s">
        <v>1042</v>
      </c>
      <c r="C163">
        <v>0</v>
      </c>
      <c r="D163">
        <f t="shared" si="29"/>
        <v>0</v>
      </c>
      <c r="F163" s="3" t="s">
        <v>1043</v>
      </c>
      <c r="G163" s="3">
        <v>6</v>
      </c>
      <c r="H163" s="3">
        <v>9</v>
      </c>
      <c r="I163" s="3">
        <v>3</v>
      </c>
      <c r="J163" s="3">
        <v>2</v>
      </c>
      <c r="K163" s="3"/>
      <c r="L163" s="3"/>
      <c r="M163" s="3">
        <f>IF(G163=0,N163,N163*G163)</f>
        <v>20</v>
      </c>
      <c r="N163" s="3">
        <f>IF(G163=0,(4*G163+H163-2*J163-3*I163+5*K163-2*L163-S163),(4*G163+H163-2*J163-3*I163+5*K163-2*L163-S163)/G163)</f>
        <v>3.3333333333333335</v>
      </c>
      <c r="O163" s="3">
        <f t="shared" si="30"/>
        <v>4.833333333333333</v>
      </c>
      <c r="P163" s="3" t="s">
        <v>1044</v>
      </c>
      <c r="Q163" s="3">
        <f>SUM(LEN($P163)-LEN(SUBSTITUTE($P163,"-","")))/LEN("-")</f>
        <v>1</v>
      </c>
      <c r="R163" s="3">
        <f>SUM(LEN($P163)-LEN(SUBSTITUTE($P163,"+","")))/LEN("+")</f>
        <v>1</v>
      </c>
      <c r="S163" s="3">
        <f>R163-Q163</f>
        <v>0</v>
      </c>
      <c r="T163" s="3"/>
    </row>
    <row r="164" spans="1:20" s="40" customFormat="1" ht="15" customHeight="1" x14ac:dyDescent="0.35">
      <c r="A164" s="40" t="s">
        <v>1930</v>
      </c>
      <c r="B164" s="40" t="s">
        <v>1930</v>
      </c>
      <c r="C164" s="40">
        <v>0</v>
      </c>
      <c r="D164" s="40">
        <f t="shared" si="29"/>
        <v>0</v>
      </c>
      <c r="F164" s="40" t="s">
        <v>1043</v>
      </c>
      <c r="G164" s="40">
        <v>6</v>
      </c>
      <c r="H164" s="40">
        <v>9</v>
      </c>
      <c r="I164" s="40">
        <v>3</v>
      </c>
      <c r="J164" s="40">
        <v>2</v>
      </c>
      <c r="M164" s="40">
        <v>20</v>
      </c>
      <c r="N164" s="40">
        <v>3.3333333333333335</v>
      </c>
      <c r="O164" s="40">
        <f t="shared" si="30"/>
        <v>4.833333333333333</v>
      </c>
      <c r="P164" s="40" t="s">
        <v>1044</v>
      </c>
      <c r="Q164" s="40">
        <v>1</v>
      </c>
      <c r="R164" s="40">
        <v>1</v>
      </c>
      <c r="S164" s="40">
        <v>0</v>
      </c>
    </row>
    <row r="165" spans="1:20" ht="15" customHeight="1" x14ac:dyDescent="0.35">
      <c r="A165" t="s">
        <v>1045</v>
      </c>
      <c r="B165" t="s">
        <v>1045</v>
      </c>
      <c r="C165">
        <v>0</v>
      </c>
      <c r="D165">
        <f t="shared" si="29"/>
        <v>0</v>
      </c>
      <c r="F165" s="3" t="s">
        <v>1046</v>
      </c>
      <c r="G165" s="3">
        <v>6</v>
      </c>
      <c r="H165" s="3">
        <v>12</v>
      </c>
      <c r="I165" s="3">
        <v>3</v>
      </c>
      <c r="J165" s="3">
        <v>1</v>
      </c>
      <c r="K165" s="3"/>
      <c r="L165" s="3"/>
      <c r="M165" s="3">
        <f>IF(G165=0,N165,N165*G165)</f>
        <v>24</v>
      </c>
      <c r="N165" s="3">
        <f>IF(G165=0,(4*G165+H165-2*J165-3*I165+5*K165-2*L165-S165),(4*G165+H165-2*J165-3*I165+5*K165-2*L165-S165)/G165)</f>
        <v>4</v>
      </c>
      <c r="O165" s="3">
        <f t="shared" si="30"/>
        <v>5.5</v>
      </c>
      <c r="P165" s="3" t="s">
        <v>1047</v>
      </c>
      <c r="Q165" s="3">
        <f>SUM(LEN($P165)-LEN(SUBSTITUTE($P165,"-","")))/LEN("-")</f>
        <v>0</v>
      </c>
      <c r="R165" s="3">
        <f>SUM(LEN($P165)-LEN(SUBSTITUTE($P165,"+","")))/LEN("+")</f>
        <v>1</v>
      </c>
      <c r="S165" s="3">
        <f>R165-Q165</f>
        <v>1</v>
      </c>
      <c r="T165" s="3"/>
    </row>
    <row r="166" spans="1:20" ht="15" customHeight="1" x14ac:dyDescent="0.35">
      <c r="A166" t="s">
        <v>1048</v>
      </c>
      <c r="B166" t="s">
        <v>1048</v>
      </c>
      <c r="C166">
        <v>0</v>
      </c>
      <c r="D166">
        <f t="shared" si="29"/>
        <v>0</v>
      </c>
      <c r="F166" s="3" t="s">
        <v>1049</v>
      </c>
      <c r="G166" s="3">
        <v>6</v>
      </c>
      <c r="H166" s="3">
        <v>11</v>
      </c>
      <c r="I166" s="3">
        <v>3</v>
      </c>
      <c r="J166" s="3">
        <v>4</v>
      </c>
      <c r="K166" s="3">
        <v>1</v>
      </c>
      <c r="L166" s="3"/>
      <c r="M166" s="3">
        <f>IF(G166=0,N166,N166*G166)</f>
        <v>24</v>
      </c>
      <c r="N166" s="3">
        <f>IF(G166=0,(4*G166+H166-2*J166-3*I166+5*K166-2*L166-S166),(4*G166+H166-2*J166-3*I166+5*K166-2*L166-S166)/G166)</f>
        <v>4</v>
      </c>
      <c r="O166" s="3">
        <f t="shared" si="30"/>
        <v>5.5</v>
      </c>
      <c r="P166" s="3" t="s">
        <v>1050</v>
      </c>
      <c r="Q166" s="3">
        <f>SUM(LEN($P166)-LEN(SUBSTITUTE($P166,"-","")))/LEN("-")</f>
        <v>2</v>
      </c>
      <c r="R166" s="3">
        <f>SUM(LEN($P166)-LEN(SUBSTITUTE($P166,"+","")))/LEN("+")</f>
        <v>1</v>
      </c>
      <c r="S166" s="3">
        <f>R166-Q166</f>
        <v>-1</v>
      </c>
      <c r="T166" s="3"/>
    </row>
    <row r="167" spans="1:20" ht="15" customHeight="1" x14ac:dyDescent="0.35">
      <c r="A167" t="s">
        <v>1051</v>
      </c>
      <c r="B167" t="s">
        <v>1051</v>
      </c>
      <c r="C167">
        <v>0</v>
      </c>
      <c r="D167">
        <f t="shared" si="29"/>
        <v>0</v>
      </c>
      <c r="F167" s="3" t="s">
        <v>1052</v>
      </c>
      <c r="G167" s="3">
        <v>4</v>
      </c>
      <c r="H167" s="3">
        <v>9</v>
      </c>
      <c r="I167" s="3">
        <v>1</v>
      </c>
      <c r="J167" s="3">
        <v>3</v>
      </c>
      <c r="K167" s="3"/>
      <c r="L167" s="3"/>
      <c r="M167" s="3">
        <f>IF(G167=0,N167,N167*G167)</f>
        <v>16</v>
      </c>
      <c r="N167" s="3">
        <f>IF(G167=0,(4*G167+H167-2*J167-3*I167+5*K167-2*L167-S167),(4*G167+H167-2*J167-3*I167+5*K167-2*L167-S167)/G167)</f>
        <v>4</v>
      </c>
      <c r="O167" s="3">
        <f t="shared" si="30"/>
        <v>4.75</v>
      </c>
      <c r="P167" s="3" t="s">
        <v>1053</v>
      </c>
      <c r="Q167" s="3">
        <f>SUM(LEN($P167)-LEN(SUBSTITUTE($P167,"-","")))/LEN("-")</f>
        <v>1</v>
      </c>
      <c r="R167" s="3">
        <f>SUM(LEN($P167)-LEN(SUBSTITUTE($P167,"+","")))/LEN("+")</f>
        <v>1</v>
      </c>
      <c r="S167" s="3">
        <f>R167-Q167</f>
        <v>0</v>
      </c>
      <c r="T167" s="3"/>
    </row>
    <row r="168" spans="1:20" ht="15" customHeight="1" x14ac:dyDescent="0.35">
      <c r="A168" t="s">
        <v>1588</v>
      </c>
      <c r="B168" t="s">
        <v>1588</v>
      </c>
      <c r="C168">
        <v>0</v>
      </c>
      <c r="D168">
        <f t="shared" si="29"/>
        <v>0</v>
      </c>
      <c r="F168" s="3" t="s">
        <v>1589</v>
      </c>
      <c r="G168" s="3">
        <v>8</v>
      </c>
      <c r="H168" s="3">
        <v>15</v>
      </c>
      <c r="I168" s="3">
        <v>1</v>
      </c>
      <c r="J168" s="3">
        <v>1</v>
      </c>
      <c r="K168" s="3"/>
      <c r="L168" s="3">
        <v>2</v>
      </c>
      <c r="M168" s="3">
        <f>IF(G168=0,N168,N168*G168)</f>
        <v>38</v>
      </c>
      <c r="N168" s="3">
        <f>IF(G168=0,(4*G168+H168-2*J168-3*I168+5*K168-2*L168-S168),(4*G168+H168-2*J168-3*I168+5*K168-2*L168-S168)/G168)</f>
        <v>4.75</v>
      </c>
      <c r="O168" s="3">
        <f t="shared" si="30"/>
        <v>5.125</v>
      </c>
      <c r="P168" s="3" t="s">
        <v>1590</v>
      </c>
      <c r="Q168" s="3">
        <f>SUM(LEN($P168)-LEN(SUBSTITUTE($P168,"-","")))/LEN("-")</f>
        <v>0</v>
      </c>
      <c r="R168" s="3">
        <f>SUM(LEN($P168)-LEN(SUBSTITUTE($P168,"+","")))/LEN("+")</f>
        <v>0</v>
      </c>
      <c r="S168" s="3">
        <f>R168-Q168</f>
        <v>0</v>
      </c>
      <c r="T168" s="3"/>
    </row>
    <row r="169" spans="1:20" ht="15" customHeight="1" x14ac:dyDescent="0.35">
      <c r="A169" t="s">
        <v>1054</v>
      </c>
      <c r="B169" t="s">
        <v>1054</v>
      </c>
      <c r="C169">
        <v>0</v>
      </c>
      <c r="D169">
        <f t="shared" si="29"/>
        <v>0</v>
      </c>
      <c r="F169" s="3" t="s">
        <v>1055</v>
      </c>
      <c r="G169" s="3">
        <v>6</v>
      </c>
      <c r="H169" s="3">
        <v>13</v>
      </c>
      <c r="I169" s="3">
        <v>1</v>
      </c>
      <c r="J169" s="3">
        <v>2</v>
      </c>
      <c r="K169" s="3"/>
      <c r="L169" s="3"/>
      <c r="M169" s="3">
        <f>IF(G169=0,N169,N169*G169)</f>
        <v>30</v>
      </c>
      <c r="N169" s="3">
        <f>IF(G169=0,(4*G169+H169-2*J169-3*I169+5*K169-2*L169-S169),(4*G169+H169-2*J169-3*I169+5*K169-2*L169-S169)/G169)</f>
        <v>5</v>
      </c>
      <c r="O169" s="3">
        <f t="shared" si="30"/>
        <v>5.5</v>
      </c>
      <c r="P169" s="3" t="s">
        <v>1056</v>
      </c>
      <c r="Q169" s="3">
        <f>SUM(LEN($P169)-LEN(SUBSTITUTE($P169,"-","")))/LEN("-")</f>
        <v>1</v>
      </c>
      <c r="R169" s="3">
        <f>SUM(LEN($P169)-LEN(SUBSTITUTE($P169,"+","")))/LEN("+")</f>
        <v>1</v>
      </c>
      <c r="S169" s="3">
        <f>R169-Q169</f>
        <v>0</v>
      </c>
      <c r="T169" s="3"/>
    </row>
    <row r="170" spans="1:20" s="40" customFormat="1" ht="15" customHeight="1" x14ac:dyDescent="0.35">
      <c r="A170" s="40" t="s">
        <v>1931</v>
      </c>
      <c r="B170" s="40" t="s">
        <v>1931</v>
      </c>
      <c r="C170" s="40">
        <v>0</v>
      </c>
      <c r="D170" s="40">
        <f t="shared" si="29"/>
        <v>0</v>
      </c>
      <c r="F170" s="40" t="s">
        <v>1055</v>
      </c>
      <c r="G170" s="40">
        <v>6</v>
      </c>
      <c r="H170" s="40">
        <v>13</v>
      </c>
      <c r="I170" s="40">
        <v>1</v>
      </c>
      <c r="J170" s="40">
        <v>2</v>
      </c>
      <c r="M170" s="40">
        <v>30</v>
      </c>
      <c r="N170" s="40">
        <v>5</v>
      </c>
      <c r="O170" s="40">
        <f t="shared" si="30"/>
        <v>5.5</v>
      </c>
      <c r="P170" s="40" t="s">
        <v>1056</v>
      </c>
      <c r="Q170" s="40">
        <v>1</v>
      </c>
      <c r="R170" s="40">
        <v>1</v>
      </c>
      <c r="S170" s="40">
        <v>0</v>
      </c>
    </row>
    <row r="171" spans="1:20" ht="15" customHeight="1" x14ac:dyDescent="0.35">
      <c r="A171" t="s">
        <v>1591</v>
      </c>
      <c r="B171" t="s">
        <v>1591</v>
      </c>
      <c r="C171">
        <v>0</v>
      </c>
      <c r="D171">
        <f t="shared" si="29"/>
        <v>0</v>
      </c>
      <c r="F171" s="3" t="s">
        <v>1592</v>
      </c>
      <c r="G171" s="3">
        <v>7</v>
      </c>
      <c r="H171" s="3">
        <v>14</v>
      </c>
      <c r="I171" s="3">
        <v>2</v>
      </c>
      <c r="J171" s="3">
        <v>4</v>
      </c>
      <c r="K171" s="3"/>
      <c r="L171" s="3"/>
      <c r="M171" s="3">
        <f>IF(G171=0,N171,N171*G171)</f>
        <v>28</v>
      </c>
      <c r="N171" s="3">
        <f>IF(G171=0,(4*G171+H171-2*J171-3*I171+5*K171-2*L171-S171),(4*G171+H171-2*J171-3*I171+5*K171-2*L171-S171)/G171)</f>
        <v>4</v>
      </c>
      <c r="O171" s="3">
        <f t="shared" si="30"/>
        <v>4.8571428571428568</v>
      </c>
      <c r="P171" s="3" t="s">
        <v>1593</v>
      </c>
      <c r="Q171" s="3">
        <f>SUM(LEN($P171)-LEN(SUBSTITUTE($P171,"-","")))/LEN("-")</f>
        <v>2</v>
      </c>
      <c r="R171" s="3">
        <f>SUM(LEN($P171)-LEN(SUBSTITUTE($P171,"+","")))/LEN("+")</f>
        <v>2</v>
      </c>
      <c r="S171" s="3">
        <f>R171-Q171</f>
        <v>0</v>
      </c>
      <c r="T171" s="3"/>
    </row>
    <row r="172" spans="1:20" s="26" customFormat="1" ht="15" customHeight="1" x14ac:dyDescent="0.35">
      <c r="A172" t="s">
        <v>1057</v>
      </c>
      <c r="B172" t="s">
        <v>1057</v>
      </c>
      <c r="C172">
        <v>0</v>
      </c>
      <c r="D172">
        <f t="shared" si="29"/>
        <v>0</v>
      </c>
      <c r="E172"/>
      <c r="F172" s="3" t="s">
        <v>1055</v>
      </c>
      <c r="G172" s="3">
        <v>6</v>
      </c>
      <c r="H172" s="3">
        <v>13</v>
      </c>
      <c r="I172" s="3">
        <v>1</v>
      </c>
      <c r="J172" s="3">
        <v>2</v>
      </c>
      <c r="K172" s="3"/>
      <c r="L172" s="3"/>
      <c r="M172" s="3">
        <f>IF(G172=0,N172,N172*G172)</f>
        <v>30</v>
      </c>
      <c r="N172" s="3">
        <f>IF(G172=0,(4*G172+H172-2*J172-3*I172+5*K172-2*L172-S172),(4*G172+H172-2*J172-3*I172+5*K172-2*L172-S172)/G172)</f>
        <v>5</v>
      </c>
      <c r="O172" s="3">
        <f t="shared" si="30"/>
        <v>5.5</v>
      </c>
      <c r="P172" s="3" t="s">
        <v>1058</v>
      </c>
      <c r="Q172" s="3">
        <f>SUM(LEN($P172)-LEN(SUBSTITUTE($P172,"-","")))/LEN("-")</f>
        <v>1</v>
      </c>
      <c r="R172" s="3">
        <f>SUM(LEN($P172)-LEN(SUBSTITUTE($P172,"+","")))/LEN("+")</f>
        <v>1</v>
      </c>
      <c r="S172" s="3">
        <f>R172-Q172</f>
        <v>0</v>
      </c>
      <c r="T172" s="3"/>
    </row>
    <row r="173" spans="1:20" s="40" customFormat="1" ht="15" customHeight="1" x14ac:dyDescent="0.35">
      <c r="A173" s="40" t="s">
        <v>1932</v>
      </c>
      <c r="B173" s="40" t="s">
        <v>1932</v>
      </c>
      <c r="C173" s="40">
        <v>0</v>
      </c>
      <c r="D173" s="40">
        <f t="shared" si="29"/>
        <v>0</v>
      </c>
      <c r="F173" s="40" t="s">
        <v>1055</v>
      </c>
      <c r="G173" s="40">
        <v>6</v>
      </c>
      <c r="H173" s="40">
        <v>13</v>
      </c>
      <c r="I173" s="40">
        <v>1</v>
      </c>
      <c r="J173" s="40">
        <v>2</v>
      </c>
      <c r="M173" s="40">
        <v>30</v>
      </c>
      <c r="N173" s="40">
        <v>5</v>
      </c>
      <c r="O173" s="40">
        <f t="shared" si="30"/>
        <v>5.5</v>
      </c>
      <c r="P173" s="40" t="s">
        <v>1058</v>
      </c>
      <c r="Q173" s="40">
        <v>1</v>
      </c>
      <c r="R173" s="40">
        <v>1</v>
      </c>
      <c r="S173" s="40">
        <v>0</v>
      </c>
    </row>
    <row r="174" spans="1:20" s="26" customFormat="1" ht="15" customHeight="1" x14ac:dyDescent="0.35">
      <c r="A174" t="s">
        <v>1059</v>
      </c>
      <c r="B174" t="s">
        <v>1059</v>
      </c>
      <c r="C174">
        <v>0</v>
      </c>
      <c r="D174">
        <f t="shared" si="29"/>
        <v>0</v>
      </c>
      <c r="E174"/>
      <c r="F174" s="3" t="s">
        <v>1060</v>
      </c>
      <c r="G174" s="3">
        <v>6</v>
      </c>
      <c r="H174" s="3">
        <v>15</v>
      </c>
      <c r="I174" s="3">
        <v>2</v>
      </c>
      <c r="J174" s="3">
        <v>2</v>
      </c>
      <c r="K174" s="3"/>
      <c r="L174" s="3"/>
      <c r="M174" s="3">
        <f>IF(G174=0,N174,N174*G174)</f>
        <v>28</v>
      </c>
      <c r="N174" s="3">
        <f>IF(G174=0,(4*G174+H174-2*J174-3*I174+5*K174-2*L174-S174),(4*G174+H174-2*J174-3*I174+5*K174-2*L174-S174)/G174)</f>
        <v>4.666666666666667</v>
      </c>
      <c r="O174" s="3">
        <f t="shared" si="30"/>
        <v>5.666666666666667</v>
      </c>
      <c r="P174" s="3" t="s">
        <v>1061</v>
      </c>
      <c r="Q174" s="3">
        <f>SUM(LEN($P174)-LEN(SUBSTITUTE($P174,"-","")))/LEN("-")</f>
        <v>1</v>
      </c>
      <c r="R174" s="3">
        <f>SUM(LEN($P174)-LEN(SUBSTITUTE($P174,"+","")))/LEN("+")</f>
        <v>2</v>
      </c>
      <c r="S174" s="3">
        <f>R174-Q174</f>
        <v>1</v>
      </c>
      <c r="T174" s="3"/>
    </row>
    <row r="175" spans="1:20" s="40" customFormat="1" ht="15" customHeight="1" x14ac:dyDescent="0.35">
      <c r="A175" s="40" t="s">
        <v>1933</v>
      </c>
      <c r="B175" s="40" t="s">
        <v>1933</v>
      </c>
      <c r="C175" s="40">
        <v>0</v>
      </c>
      <c r="D175" s="40">
        <f t="shared" si="29"/>
        <v>0</v>
      </c>
      <c r="F175" s="40" t="s">
        <v>1060</v>
      </c>
      <c r="G175" s="40">
        <v>6</v>
      </c>
      <c r="H175" s="40">
        <v>15</v>
      </c>
      <c r="I175" s="40">
        <v>2</v>
      </c>
      <c r="J175" s="40">
        <v>2</v>
      </c>
      <c r="M175" s="40">
        <v>28</v>
      </c>
      <c r="N175" s="40">
        <v>4.666666666666667</v>
      </c>
      <c r="O175" s="40">
        <f t="shared" si="30"/>
        <v>5.666666666666667</v>
      </c>
      <c r="P175" s="40" t="s">
        <v>1061</v>
      </c>
      <c r="Q175" s="40">
        <v>1</v>
      </c>
      <c r="R175" s="40">
        <v>2</v>
      </c>
      <c r="S175" s="40">
        <v>1</v>
      </c>
    </row>
    <row r="176" spans="1:20" ht="15" customHeight="1" x14ac:dyDescent="0.35">
      <c r="A176" t="s">
        <v>1062</v>
      </c>
      <c r="B176" t="s">
        <v>1062</v>
      </c>
      <c r="C176">
        <v>0</v>
      </c>
      <c r="D176">
        <f t="shared" si="29"/>
        <v>0</v>
      </c>
      <c r="F176" s="3" t="s">
        <v>1063</v>
      </c>
      <c r="G176" s="3">
        <v>4</v>
      </c>
      <c r="H176" s="3">
        <v>4</v>
      </c>
      <c r="I176" s="3"/>
      <c r="J176" s="3">
        <v>5</v>
      </c>
      <c r="K176" s="3"/>
      <c r="L176" s="3"/>
      <c r="M176" s="3">
        <f t="shared" ref="M176:M198" si="32">IF(G176=0,N176,N176*G176)</f>
        <v>12</v>
      </c>
      <c r="N176" s="3">
        <f t="shared" ref="N176:N200" si="33">IF(G176=0,(4*G176+H176-2*J176-3*I176+5*K176-2*L176-S176),(4*G176+H176-2*J176-3*I176+5*K176-2*L176-S176)/G176)</f>
        <v>3</v>
      </c>
      <c r="O176" s="3">
        <f t="shared" si="30"/>
        <v>3</v>
      </c>
      <c r="P176" s="3" t="s">
        <v>1064</v>
      </c>
      <c r="Q176" s="3">
        <f t="shared" ref="Q176:Q200" si="34">SUM(LEN($P176)-LEN(SUBSTITUTE($P176,"-","")))/LEN("-")</f>
        <v>2</v>
      </c>
      <c r="R176" s="3">
        <f t="shared" ref="R176:R200" si="35">SUM(LEN($P176)-LEN(SUBSTITUTE($P176,"+","")))/LEN("+")</f>
        <v>0</v>
      </c>
      <c r="S176" s="3">
        <f t="shared" ref="S176:S200" si="36">R176-Q176</f>
        <v>-2</v>
      </c>
      <c r="T176" s="3"/>
    </row>
    <row r="177" spans="1:20" ht="15" customHeight="1" x14ac:dyDescent="0.35">
      <c r="A177" t="s">
        <v>1065</v>
      </c>
      <c r="B177" t="s">
        <v>1065</v>
      </c>
      <c r="C177">
        <v>0</v>
      </c>
      <c r="D177">
        <f t="shared" si="29"/>
        <v>0</v>
      </c>
      <c r="F177" s="3" t="s">
        <v>1066</v>
      </c>
      <c r="G177" s="3">
        <v>5</v>
      </c>
      <c r="H177" s="3">
        <v>11</v>
      </c>
      <c r="I177" s="3">
        <v>1</v>
      </c>
      <c r="J177" s="3">
        <v>2</v>
      </c>
      <c r="K177" s="3"/>
      <c r="L177" s="3">
        <v>1</v>
      </c>
      <c r="M177" s="3">
        <f t="shared" si="32"/>
        <v>22</v>
      </c>
      <c r="N177" s="3">
        <f t="shared" si="33"/>
        <v>4.4000000000000004</v>
      </c>
      <c r="O177" s="3">
        <f t="shared" si="30"/>
        <v>5</v>
      </c>
      <c r="P177" s="3" t="s">
        <v>1067</v>
      </c>
      <c r="Q177" s="3">
        <f t="shared" si="34"/>
        <v>1</v>
      </c>
      <c r="R177" s="3">
        <f t="shared" si="35"/>
        <v>1</v>
      </c>
      <c r="S177" s="3">
        <f t="shared" si="36"/>
        <v>0</v>
      </c>
      <c r="T177" s="3"/>
    </row>
    <row r="178" spans="1:20" s="40" customFormat="1" ht="15" customHeight="1" x14ac:dyDescent="0.35">
      <c r="A178" s="40" t="s">
        <v>1934</v>
      </c>
      <c r="B178" s="40" t="s">
        <v>1934</v>
      </c>
      <c r="C178" s="40">
        <v>0</v>
      </c>
      <c r="D178" s="40">
        <f t="shared" si="29"/>
        <v>0</v>
      </c>
      <c r="F178" s="40" t="s">
        <v>1066</v>
      </c>
      <c r="G178" s="40">
        <v>5</v>
      </c>
      <c r="H178" s="40">
        <v>11</v>
      </c>
      <c r="I178" s="40">
        <v>1</v>
      </c>
      <c r="J178" s="40">
        <v>2</v>
      </c>
      <c r="L178" s="40">
        <v>1</v>
      </c>
      <c r="M178" s="40">
        <f t="shared" si="32"/>
        <v>22</v>
      </c>
      <c r="N178" s="40">
        <f t="shared" si="33"/>
        <v>4.4000000000000004</v>
      </c>
      <c r="O178" s="40">
        <f t="shared" si="30"/>
        <v>5</v>
      </c>
      <c r="P178" s="40" t="s">
        <v>1067</v>
      </c>
      <c r="Q178" s="40">
        <f t="shared" si="34"/>
        <v>1</v>
      </c>
      <c r="R178" s="40">
        <f t="shared" si="35"/>
        <v>1</v>
      </c>
      <c r="S178" s="40">
        <f t="shared" si="36"/>
        <v>0</v>
      </c>
    </row>
    <row r="179" spans="1:20" ht="15" customHeight="1" x14ac:dyDescent="0.35">
      <c r="A179" t="s">
        <v>1068</v>
      </c>
      <c r="B179" t="s">
        <v>1068</v>
      </c>
      <c r="C179">
        <v>0</v>
      </c>
      <c r="D179">
        <f t="shared" si="29"/>
        <v>0</v>
      </c>
      <c r="F179" s="3" t="s">
        <v>1069</v>
      </c>
      <c r="G179" s="3">
        <v>9</v>
      </c>
      <c r="H179" s="3">
        <v>11</v>
      </c>
      <c r="I179" s="3">
        <v>1</v>
      </c>
      <c r="J179" s="3">
        <v>2</v>
      </c>
      <c r="K179" s="3"/>
      <c r="L179" s="3"/>
      <c r="M179" s="3">
        <f t="shared" si="32"/>
        <v>40</v>
      </c>
      <c r="N179" s="3">
        <f t="shared" si="33"/>
        <v>4.4444444444444446</v>
      </c>
      <c r="O179" s="3">
        <f t="shared" si="30"/>
        <v>4.7777777777777777</v>
      </c>
      <c r="P179" s="3" t="s">
        <v>1070</v>
      </c>
      <c r="Q179" s="3">
        <f t="shared" si="34"/>
        <v>1</v>
      </c>
      <c r="R179" s="3">
        <f t="shared" si="35"/>
        <v>1</v>
      </c>
      <c r="S179" s="3">
        <f t="shared" si="36"/>
        <v>0</v>
      </c>
      <c r="T179" s="3"/>
    </row>
    <row r="180" spans="1:20" s="40" customFormat="1" ht="15" customHeight="1" x14ac:dyDescent="0.35">
      <c r="A180" s="40" t="s">
        <v>1935</v>
      </c>
      <c r="B180" s="40" t="s">
        <v>1935</v>
      </c>
      <c r="C180" s="40">
        <v>0</v>
      </c>
      <c r="D180" s="40">
        <f t="shared" si="29"/>
        <v>0</v>
      </c>
      <c r="F180" s="40" t="s">
        <v>1069</v>
      </c>
      <c r="G180" s="40">
        <v>9</v>
      </c>
      <c r="H180" s="40">
        <v>11</v>
      </c>
      <c r="I180" s="40">
        <v>1</v>
      </c>
      <c r="J180" s="40">
        <v>2</v>
      </c>
      <c r="M180" s="40">
        <f t="shared" si="32"/>
        <v>40</v>
      </c>
      <c r="N180" s="40">
        <f t="shared" si="33"/>
        <v>4.4444444444444446</v>
      </c>
      <c r="O180" s="40">
        <f t="shared" si="30"/>
        <v>4.7777777777777777</v>
      </c>
      <c r="P180" s="40" t="s">
        <v>1070</v>
      </c>
      <c r="Q180" s="40">
        <f t="shared" si="34"/>
        <v>1</v>
      </c>
      <c r="R180" s="40">
        <f t="shared" si="35"/>
        <v>1</v>
      </c>
      <c r="S180" s="40">
        <f t="shared" si="36"/>
        <v>0</v>
      </c>
    </row>
    <row r="181" spans="1:20" ht="15" customHeight="1" x14ac:dyDescent="0.35">
      <c r="A181" t="s">
        <v>1071</v>
      </c>
      <c r="B181" t="s">
        <v>1071</v>
      </c>
      <c r="C181">
        <v>0</v>
      </c>
      <c r="D181">
        <f t="shared" si="29"/>
        <v>0</v>
      </c>
      <c r="F181" s="3" t="s">
        <v>1072</v>
      </c>
      <c r="G181" s="3">
        <v>5</v>
      </c>
      <c r="H181" s="3">
        <v>9</v>
      </c>
      <c r="I181" s="3">
        <v>1</v>
      </c>
      <c r="J181" s="3">
        <v>2</v>
      </c>
      <c r="K181" s="3"/>
      <c r="L181" s="3"/>
      <c r="M181" s="3">
        <f t="shared" si="32"/>
        <v>22</v>
      </c>
      <c r="N181" s="3">
        <f t="shared" si="33"/>
        <v>4.4000000000000004</v>
      </c>
      <c r="O181" s="3">
        <f t="shared" si="30"/>
        <v>5</v>
      </c>
      <c r="P181" s="3" t="s">
        <v>1073</v>
      </c>
      <c r="Q181" s="3">
        <f t="shared" si="34"/>
        <v>1</v>
      </c>
      <c r="R181" s="3">
        <f t="shared" si="35"/>
        <v>1</v>
      </c>
      <c r="S181" s="3">
        <f t="shared" si="36"/>
        <v>0</v>
      </c>
      <c r="T181" s="3"/>
    </row>
    <row r="182" spans="1:20" s="40" customFormat="1" ht="15" customHeight="1" x14ac:dyDescent="0.35">
      <c r="A182" s="40" t="s">
        <v>1936</v>
      </c>
      <c r="B182" s="40" t="s">
        <v>1936</v>
      </c>
      <c r="C182" s="40">
        <v>0</v>
      </c>
      <c r="D182" s="40">
        <f t="shared" si="29"/>
        <v>0</v>
      </c>
      <c r="F182" s="40" t="s">
        <v>1072</v>
      </c>
      <c r="G182" s="40">
        <v>5</v>
      </c>
      <c r="H182" s="40">
        <v>9</v>
      </c>
      <c r="I182" s="40">
        <v>1</v>
      </c>
      <c r="J182" s="40">
        <v>2</v>
      </c>
      <c r="M182" s="40">
        <f t="shared" si="32"/>
        <v>22</v>
      </c>
      <c r="N182" s="40">
        <f t="shared" si="33"/>
        <v>4.4000000000000004</v>
      </c>
      <c r="O182" s="40">
        <f t="shared" si="30"/>
        <v>5</v>
      </c>
      <c r="P182" s="40" t="s">
        <v>1073</v>
      </c>
      <c r="Q182" s="40">
        <f t="shared" si="34"/>
        <v>1</v>
      </c>
      <c r="R182" s="40">
        <f t="shared" si="35"/>
        <v>1</v>
      </c>
      <c r="S182" s="40">
        <f t="shared" si="36"/>
        <v>0</v>
      </c>
    </row>
    <row r="183" spans="1:20" ht="15" customHeight="1" x14ac:dyDescent="0.35">
      <c r="A183" t="s">
        <v>1074</v>
      </c>
      <c r="B183" t="s">
        <v>1074</v>
      </c>
      <c r="C183">
        <v>0</v>
      </c>
      <c r="D183">
        <f t="shared" si="29"/>
        <v>0</v>
      </c>
      <c r="F183" s="3" t="s">
        <v>1075</v>
      </c>
      <c r="G183" s="3">
        <v>3</v>
      </c>
      <c r="H183" s="3">
        <v>7</v>
      </c>
      <c r="I183" s="3">
        <v>1</v>
      </c>
      <c r="J183" s="3">
        <v>3</v>
      </c>
      <c r="K183" s="3"/>
      <c r="L183" s="3"/>
      <c r="M183" s="3">
        <f t="shared" si="32"/>
        <v>10</v>
      </c>
      <c r="N183" s="3">
        <f t="shared" si="33"/>
        <v>3.3333333333333335</v>
      </c>
      <c r="O183" s="3">
        <f t="shared" si="30"/>
        <v>4.333333333333333</v>
      </c>
      <c r="P183" s="3" t="s">
        <v>1076</v>
      </c>
      <c r="Q183" s="3">
        <f t="shared" si="34"/>
        <v>1</v>
      </c>
      <c r="R183" s="3">
        <f t="shared" si="35"/>
        <v>1</v>
      </c>
      <c r="S183" s="3">
        <f t="shared" si="36"/>
        <v>0</v>
      </c>
      <c r="T183" s="3"/>
    </row>
    <row r="184" spans="1:20" s="40" customFormat="1" ht="15" customHeight="1" x14ac:dyDescent="0.35">
      <c r="A184" s="40" t="s">
        <v>1937</v>
      </c>
      <c r="B184" s="40" t="s">
        <v>1937</v>
      </c>
      <c r="C184" s="40">
        <v>0</v>
      </c>
      <c r="D184" s="40">
        <f t="shared" si="29"/>
        <v>0</v>
      </c>
      <c r="F184" s="40" t="s">
        <v>1075</v>
      </c>
      <c r="G184" s="40">
        <v>3</v>
      </c>
      <c r="H184" s="40">
        <v>7</v>
      </c>
      <c r="I184" s="40">
        <v>1</v>
      </c>
      <c r="J184" s="40">
        <v>3</v>
      </c>
      <c r="M184" s="40">
        <f t="shared" si="32"/>
        <v>10</v>
      </c>
      <c r="N184" s="40">
        <f t="shared" si="33"/>
        <v>3.3333333333333335</v>
      </c>
      <c r="O184" s="40">
        <f t="shared" si="30"/>
        <v>4.333333333333333</v>
      </c>
      <c r="P184" s="40" t="s">
        <v>1076</v>
      </c>
      <c r="Q184" s="40">
        <f t="shared" si="34"/>
        <v>1</v>
      </c>
      <c r="R184" s="40">
        <f t="shared" si="35"/>
        <v>1</v>
      </c>
      <c r="S184" s="40">
        <f t="shared" si="36"/>
        <v>0</v>
      </c>
    </row>
    <row r="185" spans="1:20" ht="15" customHeight="1" x14ac:dyDescent="0.35">
      <c r="A185" t="s">
        <v>1077</v>
      </c>
      <c r="B185" t="s">
        <v>1077</v>
      </c>
      <c r="C185">
        <v>0</v>
      </c>
      <c r="D185">
        <f t="shared" si="29"/>
        <v>0</v>
      </c>
      <c r="F185" s="3" t="s">
        <v>1052</v>
      </c>
      <c r="G185" s="3">
        <v>4</v>
      </c>
      <c r="H185" s="3">
        <v>9</v>
      </c>
      <c r="I185" s="3">
        <v>1</v>
      </c>
      <c r="J185" s="3">
        <v>3</v>
      </c>
      <c r="K185" s="3"/>
      <c r="L185" s="3"/>
      <c r="M185" s="3">
        <f t="shared" si="32"/>
        <v>16</v>
      </c>
      <c r="N185" s="3">
        <f t="shared" si="33"/>
        <v>4</v>
      </c>
      <c r="O185" s="3">
        <f t="shared" si="30"/>
        <v>4.75</v>
      </c>
      <c r="P185" s="3" t="s">
        <v>1078</v>
      </c>
      <c r="Q185" s="3">
        <f t="shared" si="34"/>
        <v>1</v>
      </c>
      <c r="R185" s="3">
        <f t="shared" si="35"/>
        <v>1</v>
      </c>
      <c r="S185" s="3">
        <f t="shared" si="36"/>
        <v>0</v>
      </c>
      <c r="T185" s="3"/>
    </row>
    <row r="186" spans="1:20" s="40" customFormat="1" ht="15" customHeight="1" x14ac:dyDescent="0.35">
      <c r="A186" s="40" t="s">
        <v>1938</v>
      </c>
      <c r="B186" s="40" t="s">
        <v>1938</v>
      </c>
      <c r="C186" s="40">
        <v>0</v>
      </c>
      <c r="D186" s="40">
        <f t="shared" si="29"/>
        <v>0</v>
      </c>
      <c r="F186" s="40" t="s">
        <v>1052</v>
      </c>
      <c r="G186" s="40">
        <v>4</v>
      </c>
      <c r="H186" s="40">
        <v>9</v>
      </c>
      <c r="I186" s="40">
        <v>1</v>
      </c>
      <c r="J186" s="40">
        <v>3</v>
      </c>
      <c r="M186" s="40">
        <f t="shared" si="32"/>
        <v>16</v>
      </c>
      <c r="N186" s="40">
        <f t="shared" si="33"/>
        <v>4</v>
      </c>
      <c r="O186" s="40">
        <f t="shared" si="30"/>
        <v>4.75</v>
      </c>
      <c r="P186" s="40" t="s">
        <v>1078</v>
      </c>
      <c r="Q186" s="40">
        <f t="shared" si="34"/>
        <v>1</v>
      </c>
      <c r="R186" s="40">
        <f t="shared" si="35"/>
        <v>1</v>
      </c>
      <c r="S186" s="40">
        <f t="shared" si="36"/>
        <v>0</v>
      </c>
    </row>
    <row r="187" spans="1:20" ht="15" customHeight="1" x14ac:dyDescent="0.35">
      <c r="A187" t="s">
        <v>1079</v>
      </c>
      <c r="B187" t="s">
        <v>1079</v>
      </c>
      <c r="C187">
        <v>0</v>
      </c>
      <c r="D187">
        <f t="shared" si="29"/>
        <v>0</v>
      </c>
      <c r="F187" s="3" t="s">
        <v>1080</v>
      </c>
      <c r="G187" s="3">
        <v>11</v>
      </c>
      <c r="H187" s="3">
        <v>12</v>
      </c>
      <c r="I187" s="3">
        <v>2</v>
      </c>
      <c r="J187" s="3">
        <v>2</v>
      </c>
      <c r="K187" s="3"/>
      <c r="L187" s="3"/>
      <c r="M187" s="3">
        <f t="shared" si="32"/>
        <v>46</v>
      </c>
      <c r="N187" s="3">
        <f t="shared" si="33"/>
        <v>4.1818181818181817</v>
      </c>
      <c r="O187" s="3">
        <f t="shared" si="30"/>
        <v>4.7272727272727275</v>
      </c>
      <c r="P187" s="3" t="s">
        <v>1081</v>
      </c>
      <c r="Q187" s="3">
        <f t="shared" si="34"/>
        <v>1</v>
      </c>
      <c r="R187" s="3">
        <f t="shared" si="35"/>
        <v>1</v>
      </c>
      <c r="S187" s="3">
        <f t="shared" si="36"/>
        <v>0</v>
      </c>
      <c r="T187" s="3"/>
    </row>
    <row r="188" spans="1:20" s="40" customFormat="1" ht="15" customHeight="1" x14ac:dyDescent="0.35">
      <c r="A188" s="40" t="s">
        <v>1939</v>
      </c>
      <c r="B188" s="40" t="s">
        <v>1939</v>
      </c>
      <c r="C188" s="40">
        <v>0</v>
      </c>
      <c r="D188" s="40">
        <f t="shared" si="29"/>
        <v>0</v>
      </c>
      <c r="F188" s="40" t="s">
        <v>1080</v>
      </c>
      <c r="G188" s="40">
        <v>11</v>
      </c>
      <c r="H188" s="40">
        <v>12</v>
      </c>
      <c r="I188" s="40">
        <v>2</v>
      </c>
      <c r="J188" s="40">
        <v>2</v>
      </c>
      <c r="M188" s="40">
        <f t="shared" si="32"/>
        <v>46</v>
      </c>
      <c r="N188" s="40">
        <f t="shared" si="33"/>
        <v>4.1818181818181817</v>
      </c>
      <c r="O188" s="40">
        <f t="shared" si="30"/>
        <v>4.7272727272727275</v>
      </c>
      <c r="P188" s="40" t="s">
        <v>1081</v>
      </c>
      <c r="Q188" s="40">
        <f t="shared" si="34"/>
        <v>1</v>
      </c>
      <c r="R188" s="40">
        <f t="shared" si="35"/>
        <v>1</v>
      </c>
      <c r="S188" s="40">
        <f t="shared" si="36"/>
        <v>0</v>
      </c>
    </row>
    <row r="189" spans="1:20" ht="15" customHeight="1" x14ac:dyDescent="0.35">
      <c r="A189" t="s">
        <v>1082</v>
      </c>
      <c r="B189" t="s">
        <v>1082</v>
      </c>
      <c r="C189">
        <v>0</v>
      </c>
      <c r="D189">
        <f t="shared" si="29"/>
        <v>0</v>
      </c>
      <c r="F189" s="3" t="s">
        <v>1083</v>
      </c>
      <c r="G189" s="3">
        <v>9</v>
      </c>
      <c r="H189" s="3">
        <v>11</v>
      </c>
      <c r="I189" s="3">
        <v>1</v>
      </c>
      <c r="J189" s="3">
        <v>3</v>
      </c>
      <c r="K189" s="3"/>
      <c r="L189" s="3"/>
      <c r="M189" s="3">
        <f t="shared" si="32"/>
        <v>38</v>
      </c>
      <c r="N189" s="3">
        <f t="shared" si="33"/>
        <v>4.2222222222222223</v>
      </c>
      <c r="O189" s="3">
        <f t="shared" si="30"/>
        <v>4.5555555555555554</v>
      </c>
      <c r="P189" s="3" t="s">
        <v>1084</v>
      </c>
      <c r="Q189" s="3">
        <f t="shared" si="34"/>
        <v>1</v>
      </c>
      <c r="R189" s="3">
        <f t="shared" si="35"/>
        <v>1</v>
      </c>
      <c r="S189" s="3">
        <f t="shared" si="36"/>
        <v>0</v>
      </c>
      <c r="T189" s="3"/>
    </row>
    <row r="190" spans="1:20" s="40" customFormat="1" ht="15" customHeight="1" x14ac:dyDescent="0.35">
      <c r="A190" s="40" t="s">
        <v>1940</v>
      </c>
      <c r="B190" s="40" t="s">
        <v>1940</v>
      </c>
      <c r="C190" s="40">
        <v>0</v>
      </c>
      <c r="D190" s="40">
        <f t="shared" si="29"/>
        <v>0</v>
      </c>
      <c r="F190" s="40" t="s">
        <v>1083</v>
      </c>
      <c r="G190" s="40">
        <v>9</v>
      </c>
      <c r="H190" s="40">
        <v>11</v>
      </c>
      <c r="I190" s="40">
        <v>1</v>
      </c>
      <c r="J190" s="40">
        <v>3</v>
      </c>
      <c r="M190" s="40">
        <f t="shared" si="32"/>
        <v>38</v>
      </c>
      <c r="N190" s="40">
        <f t="shared" si="33"/>
        <v>4.2222222222222223</v>
      </c>
      <c r="O190" s="40">
        <f t="shared" si="30"/>
        <v>4.5555555555555554</v>
      </c>
      <c r="P190" s="40" t="s">
        <v>1084</v>
      </c>
      <c r="Q190" s="40">
        <f t="shared" si="34"/>
        <v>1</v>
      </c>
      <c r="R190" s="40">
        <f t="shared" si="35"/>
        <v>1</v>
      </c>
      <c r="S190" s="40">
        <f t="shared" si="36"/>
        <v>0</v>
      </c>
    </row>
    <row r="191" spans="1:20" ht="15" customHeight="1" x14ac:dyDescent="0.35">
      <c r="A191" t="s">
        <v>1085</v>
      </c>
      <c r="B191" t="s">
        <v>1085</v>
      </c>
      <c r="C191">
        <v>0</v>
      </c>
      <c r="D191">
        <f t="shared" si="29"/>
        <v>0</v>
      </c>
      <c r="F191" s="3" t="s">
        <v>1086</v>
      </c>
      <c r="G191" s="3">
        <v>5</v>
      </c>
      <c r="H191" s="3">
        <v>11</v>
      </c>
      <c r="I191" s="3">
        <v>1</v>
      </c>
      <c r="J191" s="3">
        <v>2</v>
      </c>
      <c r="K191" s="3"/>
      <c r="L191" s="3"/>
      <c r="M191" s="3">
        <f t="shared" si="32"/>
        <v>24</v>
      </c>
      <c r="N191" s="3">
        <f t="shared" si="33"/>
        <v>4.8</v>
      </c>
      <c r="O191" s="3">
        <f t="shared" si="30"/>
        <v>5.4</v>
      </c>
      <c r="P191" s="3" t="s">
        <v>1087</v>
      </c>
      <c r="Q191" s="3">
        <f t="shared" si="34"/>
        <v>1</v>
      </c>
      <c r="R191" s="3">
        <f t="shared" si="35"/>
        <v>1</v>
      </c>
      <c r="S191" s="3">
        <f t="shared" si="36"/>
        <v>0</v>
      </c>
      <c r="T191" s="3"/>
    </row>
    <row r="192" spans="1:20" s="40" customFormat="1" ht="15" customHeight="1" x14ac:dyDescent="0.35">
      <c r="A192" s="40" t="s">
        <v>1941</v>
      </c>
      <c r="B192" s="40" t="s">
        <v>1941</v>
      </c>
      <c r="C192" s="40">
        <v>0</v>
      </c>
      <c r="D192" s="40">
        <f t="shared" si="29"/>
        <v>0</v>
      </c>
      <c r="F192" s="40" t="s">
        <v>1086</v>
      </c>
      <c r="G192" s="40">
        <v>5</v>
      </c>
      <c r="H192" s="40">
        <v>11</v>
      </c>
      <c r="I192" s="40">
        <v>1</v>
      </c>
      <c r="J192" s="40">
        <v>2</v>
      </c>
      <c r="M192" s="40">
        <f t="shared" si="32"/>
        <v>24</v>
      </c>
      <c r="N192" s="40">
        <f t="shared" si="33"/>
        <v>4.8</v>
      </c>
      <c r="O192" s="40">
        <f t="shared" si="30"/>
        <v>5.4</v>
      </c>
      <c r="P192" s="40" t="s">
        <v>1087</v>
      </c>
      <c r="Q192" s="40">
        <f t="shared" si="34"/>
        <v>1</v>
      </c>
      <c r="R192" s="40">
        <f t="shared" si="35"/>
        <v>1</v>
      </c>
      <c r="S192" s="40">
        <f t="shared" si="36"/>
        <v>0</v>
      </c>
    </row>
    <row r="193" spans="1:20" ht="15" customHeight="1" x14ac:dyDescent="0.25">
      <c r="A193" t="s">
        <v>1231</v>
      </c>
      <c r="B193" t="s">
        <v>1231</v>
      </c>
      <c r="C193">
        <v>0</v>
      </c>
      <c r="D193">
        <f t="shared" si="29"/>
        <v>0</v>
      </c>
      <c r="F193" s="3">
        <v>0</v>
      </c>
      <c r="G193" s="3">
        <v>0</v>
      </c>
      <c r="H193" s="3">
        <v>0</v>
      </c>
      <c r="I193" s="3">
        <v>0</v>
      </c>
      <c r="J193" s="3">
        <v>0</v>
      </c>
      <c r="K193" s="3"/>
      <c r="L193" s="3"/>
      <c r="M193" s="3">
        <f t="shared" si="32"/>
        <v>0</v>
      </c>
      <c r="N193" s="3">
        <f t="shared" si="33"/>
        <v>0</v>
      </c>
      <c r="O193" s="3">
        <f t="shared" si="30"/>
        <v>0</v>
      </c>
      <c r="P193" s="3"/>
      <c r="Q193" s="3">
        <f t="shared" si="34"/>
        <v>0</v>
      </c>
      <c r="R193" s="3">
        <f t="shared" si="35"/>
        <v>0</v>
      </c>
      <c r="S193" s="3">
        <f t="shared" si="36"/>
        <v>0</v>
      </c>
      <c r="T193" s="3"/>
    </row>
    <row r="194" spans="1:20" s="40" customFormat="1" ht="15" customHeight="1" x14ac:dyDescent="0.25">
      <c r="A194" s="40" t="s">
        <v>1626</v>
      </c>
      <c r="B194" s="40" t="s">
        <v>1626</v>
      </c>
      <c r="C194" s="40">
        <v>0</v>
      </c>
      <c r="D194" s="40">
        <f t="shared" ref="D194:D257" si="37">IF(OR(EXACT(A194,"formaldehyde_ext"),EXACT(A194,"formate_ext"),EXACT(A194,"Acetate_ext"),EXACT(A194,"CO2_out"),EXACT(A194,"H2O"),EXACT(A194,"H2O2_ext"),EXACT(A194,"H2S_ext"),EXACT(A194,"kg_biomass_EXT"),EXACT(A194,"Maintenance_leak"),EXACT(A194,"NH3_ext"),EXACT(A194,"O2_out"),EXACT(A194,"Phosphate_out"),EXACT(A194,"proton_external"),EXACT(A194,"urea_ext"),EXACT(A194,"myell_DNA_EXT"),EXACT(A194,"myell_biomass_ext")),1,0)</f>
        <v>1</v>
      </c>
      <c r="F194" s="40">
        <v>0</v>
      </c>
      <c r="G194" s="40">
        <v>0</v>
      </c>
      <c r="H194" s="40">
        <v>0</v>
      </c>
      <c r="I194" s="40">
        <v>0</v>
      </c>
      <c r="J194" s="40">
        <v>0</v>
      </c>
      <c r="M194" s="40">
        <f t="shared" si="32"/>
        <v>0</v>
      </c>
      <c r="N194" s="40">
        <f t="shared" si="33"/>
        <v>0</v>
      </c>
      <c r="O194" s="40">
        <f t="shared" si="30"/>
        <v>0</v>
      </c>
      <c r="Q194" s="40">
        <f t="shared" si="34"/>
        <v>0</v>
      </c>
      <c r="R194" s="40">
        <f t="shared" si="35"/>
        <v>0</v>
      </c>
      <c r="S194" s="40">
        <f t="shared" si="36"/>
        <v>0</v>
      </c>
    </row>
    <row r="195" spans="1:20" ht="15" customHeight="1" x14ac:dyDescent="0.35">
      <c r="A195" t="s">
        <v>1594</v>
      </c>
      <c r="B195" t="s">
        <v>1594</v>
      </c>
      <c r="C195">
        <v>0</v>
      </c>
      <c r="D195">
        <f t="shared" si="37"/>
        <v>0</v>
      </c>
      <c r="F195" s="3" t="s">
        <v>1592</v>
      </c>
      <c r="G195" s="3">
        <v>7</v>
      </c>
      <c r="H195" s="3">
        <v>14</v>
      </c>
      <c r="I195" s="3">
        <v>2</v>
      </c>
      <c r="J195" s="3">
        <v>4</v>
      </c>
      <c r="K195" s="3"/>
      <c r="L195" s="3"/>
      <c r="M195" s="3">
        <f t="shared" si="32"/>
        <v>28</v>
      </c>
      <c r="N195" s="3">
        <f t="shared" si="33"/>
        <v>4</v>
      </c>
      <c r="O195" s="3">
        <f t="shared" ref="O195:O258" si="38">IF(G195=0,(4*G195+H195-2*J195+5*K195-2*L195-S195),(4*G195+H195-2*J195+5*K195-2*L195-S195)/G195)</f>
        <v>4.8571428571428568</v>
      </c>
      <c r="P195" s="3" t="s">
        <v>1593</v>
      </c>
      <c r="Q195" s="3">
        <f t="shared" si="34"/>
        <v>2</v>
      </c>
      <c r="R195" s="3">
        <f t="shared" si="35"/>
        <v>2</v>
      </c>
      <c r="S195" s="3">
        <f t="shared" si="36"/>
        <v>0</v>
      </c>
      <c r="T195" s="3"/>
    </row>
    <row r="196" spans="1:20" ht="15" customHeight="1" x14ac:dyDescent="0.35">
      <c r="A196" t="s">
        <v>1595</v>
      </c>
      <c r="B196" t="s">
        <v>1595</v>
      </c>
      <c r="C196">
        <v>0</v>
      </c>
      <c r="D196">
        <f t="shared" si="37"/>
        <v>0</v>
      </c>
      <c r="F196" s="3" t="s">
        <v>1596</v>
      </c>
      <c r="G196" s="3">
        <v>1</v>
      </c>
      <c r="H196" s="3">
        <v>4</v>
      </c>
      <c r="I196" s="3"/>
      <c r="J196" s="3"/>
      <c r="K196" s="3"/>
      <c r="L196" s="3">
        <v>1</v>
      </c>
      <c r="M196" s="3">
        <f t="shared" si="32"/>
        <v>6</v>
      </c>
      <c r="N196" s="3">
        <f t="shared" si="33"/>
        <v>6</v>
      </c>
      <c r="O196" s="3">
        <f t="shared" si="38"/>
        <v>6</v>
      </c>
      <c r="P196" s="3" t="s">
        <v>1597</v>
      </c>
      <c r="Q196" s="3">
        <f t="shared" si="34"/>
        <v>0</v>
      </c>
      <c r="R196" s="3">
        <f t="shared" si="35"/>
        <v>0</v>
      </c>
      <c r="S196" s="3">
        <f t="shared" si="36"/>
        <v>0</v>
      </c>
      <c r="T196" s="3"/>
    </row>
    <row r="197" spans="1:20" ht="15" customHeight="1" x14ac:dyDescent="0.35">
      <c r="A197" t="s">
        <v>1227</v>
      </c>
      <c r="B197" t="s">
        <v>1227</v>
      </c>
      <c r="C197">
        <v>0</v>
      </c>
      <c r="D197">
        <f t="shared" si="37"/>
        <v>0</v>
      </c>
      <c r="F197" t="s">
        <v>1228</v>
      </c>
      <c r="G197" s="3">
        <v>20</v>
      </c>
      <c r="H197" s="3">
        <v>20</v>
      </c>
      <c r="I197" s="3">
        <v>7</v>
      </c>
      <c r="J197" s="3">
        <v>6</v>
      </c>
      <c r="K197" s="3"/>
      <c r="L197" s="3"/>
      <c r="M197" s="3">
        <f t="shared" si="32"/>
        <v>68</v>
      </c>
      <c r="N197" s="3">
        <f t="shared" si="33"/>
        <v>3.4</v>
      </c>
      <c r="O197" s="3">
        <f t="shared" si="38"/>
        <v>4.45</v>
      </c>
      <c r="P197" t="s">
        <v>1229</v>
      </c>
      <c r="Q197" s="3">
        <f t="shared" si="34"/>
        <v>2</v>
      </c>
      <c r="R197" s="3">
        <f t="shared" si="35"/>
        <v>1</v>
      </c>
      <c r="S197" s="3">
        <f t="shared" si="36"/>
        <v>-1</v>
      </c>
      <c r="T197" s="3"/>
    </row>
    <row r="198" spans="1:20" s="26" customFormat="1" ht="15" customHeight="1" x14ac:dyDescent="0.35">
      <c r="A198" t="s">
        <v>1088</v>
      </c>
      <c r="B198" t="s">
        <v>1088</v>
      </c>
      <c r="C198">
        <v>0</v>
      </c>
      <c r="D198">
        <f t="shared" si="37"/>
        <v>0</v>
      </c>
      <c r="E198"/>
      <c r="F198" s="3" t="s">
        <v>1089</v>
      </c>
      <c r="G198" s="3">
        <v>6</v>
      </c>
      <c r="H198" s="3">
        <v>11</v>
      </c>
      <c r="I198" s="3"/>
      <c r="J198" s="3">
        <v>4</v>
      </c>
      <c r="K198" s="3"/>
      <c r="L198" s="3"/>
      <c r="M198" s="3">
        <f t="shared" si="32"/>
        <v>28</v>
      </c>
      <c r="N198" s="3">
        <f t="shared" si="33"/>
        <v>4.666666666666667</v>
      </c>
      <c r="O198" s="3">
        <f t="shared" si="38"/>
        <v>4.666666666666667</v>
      </c>
      <c r="P198" s="3" t="s">
        <v>1090</v>
      </c>
      <c r="Q198" s="3">
        <f t="shared" si="34"/>
        <v>1</v>
      </c>
      <c r="R198" s="3">
        <f t="shared" si="35"/>
        <v>0</v>
      </c>
      <c r="S198" s="3">
        <f t="shared" si="36"/>
        <v>-1</v>
      </c>
      <c r="T198" s="3"/>
    </row>
    <row r="199" spans="1:20" s="38" customFormat="1" ht="15" customHeight="1" x14ac:dyDescent="0.25">
      <c r="A199" s="38" t="s">
        <v>1944</v>
      </c>
      <c r="B199" s="38" t="s">
        <v>1944</v>
      </c>
      <c r="C199" s="38">
        <v>0</v>
      </c>
      <c r="D199" s="38">
        <f t="shared" si="37"/>
        <v>0</v>
      </c>
      <c r="G199" s="38">
        <f>BIOMASS_Myell!N50</f>
        <v>42.683189999999996</v>
      </c>
      <c r="H199" s="38">
        <f>BIOMASS_Myell!O50</f>
        <v>68.444839999999999</v>
      </c>
      <c r="I199" s="38">
        <f>BIOMASS_Myell!P50</f>
        <v>9.2502200000000023</v>
      </c>
      <c r="J199" s="38">
        <f>BIOMASS_Myell!Q50</f>
        <v>16.157879999999999</v>
      </c>
      <c r="K199" s="38">
        <f>BIOMASS_Myell!R50</f>
        <v>0.71800000000000008</v>
      </c>
      <c r="L199" s="38">
        <f>BIOMASS_Myell!S50</f>
        <v>0.16429999999999997</v>
      </c>
      <c r="M199" s="38">
        <f>BIOMASS_Myell!T50</f>
        <v>184.05108000000001</v>
      </c>
      <c r="N199" s="38">
        <f t="shared" si="33"/>
        <v>4.2727026728789479</v>
      </c>
      <c r="O199" s="38">
        <f t="shared" si="38"/>
        <v>4.9228569842132233</v>
      </c>
      <c r="Q199" s="38">
        <f t="shared" si="34"/>
        <v>0</v>
      </c>
      <c r="R199" s="38">
        <f t="shared" si="35"/>
        <v>0</v>
      </c>
      <c r="S199" s="38">
        <f t="shared" si="36"/>
        <v>0</v>
      </c>
    </row>
    <row r="200" spans="1:20" s="40" customFormat="1" ht="15" customHeight="1" x14ac:dyDescent="0.25">
      <c r="A200" s="40" t="s">
        <v>1947</v>
      </c>
      <c r="B200" s="40" t="s">
        <v>1947</v>
      </c>
      <c r="C200" s="40">
        <v>0</v>
      </c>
      <c r="D200" s="40">
        <f t="shared" si="37"/>
        <v>1</v>
      </c>
      <c r="G200" s="40">
        <f>BIOMASS_Myell!N50</f>
        <v>42.683189999999996</v>
      </c>
      <c r="H200" s="40">
        <f>BIOMASS_Myell!O50</f>
        <v>68.444839999999999</v>
      </c>
      <c r="I200" s="40">
        <f>BIOMASS_Myell!P50</f>
        <v>9.2502200000000023</v>
      </c>
      <c r="J200" s="40">
        <f>BIOMASS_Myell!Q50</f>
        <v>16.157879999999999</v>
      </c>
      <c r="K200" s="40">
        <f>BIOMASS_Myell!R50</f>
        <v>0.71800000000000008</v>
      </c>
      <c r="L200" s="40">
        <f>BIOMASS_Myell!S50</f>
        <v>0.16429999999999997</v>
      </c>
      <c r="M200" s="40">
        <f>BIOMASS_Myell!T50</f>
        <v>184.05108000000001</v>
      </c>
      <c r="N200" s="40">
        <f t="shared" si="33"/>
        <v>4.2727026728789479</v>
      </c>
      <c r="O200" s="40">
        <f t="shared" si="38"/>
        <v>4.9228569842132233</v>
      </c>
      <c r="Q200" s="40">
        <f t="shared" si="34"/>
        <v>0</v>
      </c>
      <c r="R200" s="40">
        <f t="shared" si="35"/>
        <v>0</v>
      </c>
      <c r="S200" s="40">
        <f t="shared" si="36"/>
        <v>0</v>
      </c>
    </row>
    <row r="201" spans="1:20" s="38" customFormat="1" ht="15" customHeight="1" x14ac:dyDescent="0.25">
      <c r="A201" s="38" t="s">
        <v>1949</v>
      </c>
      <c r="B201" s="38" t="s">
        <v>1949</v>
      </c>
      <c r="C201" s="38">
        <v>0</v>
      </c>
      <c r="D201" s="38">
        <f t="shared" si="37"/>
        <v>0</v>
      </c>
      <c r="G201" s="38">
        <f>BIOMASS_Myell!N7</f>
        <v>9.76</v>
      </c>
      <c r="H201" s="38">
        <f>BIOMASS_Myell!O7</f>
        <v>10.259999999999998</v>
      </c>
      <c r="I201" s="38">
        <f>BIOMASS_Myell!P7</f>
        <v>3.74</v>
      </c>
      <c r="J201" s="38">
        <f>BIOMASS_Myell!Q7</f>
        <v>6</v>
      </c>
      <c r="K201" s="38">
        <f>BIOMASS_Myell!R7</f>
        <v>1</v>
      </c>
      <c r="L201" s="38">
        <f>BIOMASS_Myell!S7</f>
        <v>0</v>
      </c>
      <c r="M201" s="38">
        <f>BIOMASS_Myell!T7</f>
        <v>37.300000000000004</v>
      </c>
      <c r="O201" s="38">
        <f t="shared" si="38"/>
        <v>4.3340163934426226</v>
      </c>
    </row>
    <row r="202" spans="1:20" s="40" customFormat="1" ht="15" customHeight="1" x14ac:dyDescent="0.25">
      <c r="A202" s="40" t="s">
        <v>1951</v>
      </c>
      <c r="B202" s="40" t="s">
        <v>1951</v>
      </c>
      <c r="C202" s="40">
        <v>0</v>
      </c>
      <c r="D202" s="40">
        <f t="shared" si="37"/>
        <v>1</v>
      </c>
      <c r="G202" s="40">
        <f>BIOMASS_Myell!N7</f>
        <v>9.76</v>
      </c>
      <c r="H202" s="40">
        <f>BIOMASS_Myell!O7</f>
        <v>10.259999999999998</v>
      </c>
      <c r="I202" s="40">
        <f>BIOMASS_Myell!P7</f>
        <v>3.74</v>
      </c>
      <c r="J202" s="40">
        <f>BIOMASS_Myell!Q7</f>
        <v>6</v>
      </c>
      <c r="K202" s="40">
        <f>BIOMASS_Myell!R7</f>
        <v>1</v>
      </c>
      <c r="L202" s="40">
        <f>BIOMASS_Myell!S7</f>
        <v>0</v>
      </c>
      <c r="M202" s="40">
        <f>BIOMASS_Myell!T7</f>
        <v>37.300000000000004</v>
      </c>
      <c r="O202" s="40">
        <f t="shared" si="38"/>
        <v>4.3340163934426226</v>
      </c>
    </row>
    <row r="203" spans="1:20" s="40" customFormat="1" ht="15" customHeight="1" x14ac:dyDescent="0.25">
      <c r="A203" s="40" t="s">
        <v>1918</v>
      </c>
      <c r="B203" s="40" t="s">
        <v>1918</v>
      </c>
      <c r="C203" s="40">
        <v>0</v>
      </c>
      <c r="D203" s="40">
        <f t="shared" si="37"/>
        <v>0</v>
      </c>
      <c r="G203" s="40">
        <v>86</v>
      </c>
      <c r="H203" s="40">
        <v>170</v>
      </c>
      <c r="J203" s="40">
        <v>12</v>
      </c>
      <c r="K203" s="40">
        <v>2</v>
      </c>
      <c r="M203" s="40">
        <f>IF(G203=0,N203,N203*G203)</f>
        <v>504</v>
      </c>
      <c r="N203" s="40">
        <f t="shared" ref="N203:N234" si="39">IF(G203=0,(4*G203+H203-2*J203-3*I203+5*K203-2*L203-S203),(4*G203+H203-2*J203-3*I203+5*K203-2*L203-S203)/G203)</f>
        <v>5.8604651162790695</v>
      </c>
      <c r="O203" s="40">
        <f t="shared" si="38"/>
        <v>5.8604651162790695</v>
      </c>
      <c r="P203" s="42" t="s">
        <v>2149</v>
      </c>
      <c r="Q203" s="40">
        <f t="shared" ref="Q203:Q234" si="40">SUM(LEN($P203)-LEN(SUBSTITUTE($P203,"-","")))/LEN("-")</f>
        <v>4</v>
      </c>
      <c r="R203" s="40">
        <f t="shared" ref="R203:R234" si="41">SUM(LEN($P203)-LEN(SUBSTITUTE($P203,"+","")))/LEN("+")</f>
        <v>0</v>
      </c>
      <c r="S203" s="40">
        <f>R203-Q203</f>
        <v>-4</v>
      </c>
    </row>
    <row r="204" spans="1:20" s="38" customFormat="1" ht="15" customHeight="1" x14ac:dyDescent="0.25">
      <c r="A204" s="38" t="s">
        <v>1633</v>
      </c>
      <c r="B204" s="38" t="s">
        <v>1633</v>
      </c>
      <c r="C204" s="38">
        <v>0</v>
      </c>
      <c r="D204" s="38">
        <f t="shared" si="37"/>
        <v>0</v>
      </c>
      <c r="G204" s="38">
        <f>BIOMASS_Myell!N41</f>
        <v>509.5</v>
      </c>
      <c r="H204" s="38">
        <f>BIOMASS_Myell!O41</f>
        <v>812.19999999999993</v>
      </c>
      <c r="I204" s="38">
        <f>BIOMASS_Myell!P41</f>
        <v>135.40000000000003</v>
      </c>
      <c r="J204" s="38">
        <f>BIOMASS_Myell!Q41</f>
        <v>146.89999999999998</v>
      </c>
      <c r="K204" s="38">
        <f>BIOMASS_Myell!R41</f>
        <v>0</v>
      </c>
      <c r="L204" s="38">
        <f>BIOMASS_Myell!S41</f>
        <v>3.0999999999999996</v>
      </c>
      <c r="M204" s="38">
        <f>BIOMASS_Myell!T41</f>
        <v>2143.4</v>
      </c>
      <c r="N204" s="38">
        <f t="shared" si="39"/>
        <v>4.2080471050049058</v>
      </c>
      <c r="O204" s="38">
        <f t="shared" si="38"/>
        <v>5.0052993130520118</v>
      </c>
      <c r="Q204" s="38">
        <f t="shared" si="40"/>
        <v>0</v>
      </c>
      <c r="R204" s="38">
        <f t="shared" si="41"/>
        <v>0</v>
      </c>
    </row>
    <row r="205" spans="1:20" s="40" customFormat="1" ht="15" customHeight="1" x14ac:dyDescent="0.25">
      <c r="A205" s="40" t="s">
        <v>1634</v>
      </c>
      <c r="B205" s="40" t="s">
        <v>1634</v>
      </c>
      <c r="C205" s="40">
        <v>0</v>
      </c>
      <c r="D205" s="40">
        <f t="shared" si="37"/>
        <v>0</v>
      </c>
      <c r="G205" s="40">
        <f>BIOMASS_Myell!N41</f>
        <v>509.5</v>
      </c>
      <c r="H205" s="40">
        <f>BIOMASS_Myell!O41</f>
        <v>812.19999999999993</v>
      </c>
      <c r="I205" s="40">
        <f>BIOMASS_Myell!P41</f>
        <v>135.40000000000003</v>
      </c>
      <c r="J205" s="40">
        <f>BIOMASS_Myell!Q41</f>
        <v>146.89999999999998</v>
      </c>
      <c r="K205" s="40">
        <f>BIOMASS_Myell!R41</f>
        <v>0</v>
      </c>
      <c r="L205" s="40">
        <f>BIOMASS_Myell!S41</f>
        <v>3.0999999999999996</v>
      </c>
      <c r="M205" s="40">
        <f>BIOMASS_Myell!T41</f>
        <v>2143.4</v>
      </c>
      <c r="N205" s="40">
        <f t="shared" si="39"/>
        <v>4.2080471050049058</v>
      </c>
      <c r="O205" s="40">
        <f t="shared" si="38"/>
        <v>5.0052993130520118</v>
      </c>
      <c r="Q205" s="40">
        <f t="shared" si="40"/>
        <v>0</v>
      </c>
      <c r="R205" s="40">
        <f t="shared" si="41"/>
        <v>0</v>
      </c>
    </row>
    <row r="206" spans="1:20" s="38" customFormat="1" ht="15" customHeight="1" x14ac:dyDescent="0.25">
      <c r="A206" s="38" t="s">
        <v>1625</v>
      </c>
      <c r="B206" s="38" t="s">
        <v>1625</v>
      </c>
      <c r="C206" s="38">
        <v>0</v>
      </c>
      <c r="D206" s="38">
        <f t="shared" si="37"/>
        <v>0</v>
      </c>
      <c r="G206" s="39">
        <f>BIOMASS_Myell!N14</f>
        <v>9.43</v>
      </c>
      <c r="H206" s="39">
        <f>BIOMASS_Myell!O14</f>
        <v>9.7799999999999994</v>
      </c>
      <c r="I206" s="39">
        <f>BIOMASS_Myell!P14</f>
        <v>3.64</v>
      </c>
      <c r="J206" s="39">
        <f>BIOMASS_Myell!Q14</f>
        <v>7.0600000000000005</v>
      </c>
      <c r="K206" s="39">
        <f>BIOMASS_Myell!R14</f>
        <v>1</v>
      </c>
      <c r="L206" s="39">
        <f>BIOMASS_Myell!S14</f>
        <v>0</v>
      </c>
      <c r="M206" s="38">
        <f>BIOMASS_Myell!T14</f>
        <v>29.46</v>
      </c>
      <c r="N206" s="38">
        <f t="shared" si="39"/>
        <v>2.9119830328738066</v>
      </c>
      <c r="O206" s="38">
        <f t="shared" si="38"/>
        <v>4.0699893955461288</v>
      </c>
      <c r="Q206" s="38">
        <f t="shared" si="40"/>
        <v>0</v>
      </c>
      <c r="R206" s="38">
        <f t="shared" si="41"/>
        <v>0</v>
      </c>
    </row>
    <row r="207" spans="1:20" s="40" customFormat="1" ht="15" customHeight="1" x14ac:dyDescent="0.25">
      <c r="A207" s="40" t="s">
        <v>1635</v>
      </c>
      <c r="B207" s="40" t="s">
        <v>1635</v>
      </c>
      <c r="C207" s="40">
        <v>0</v>
      </c>
      <c r="D207" s="40">
        <f t="shared" si="37"/>
        <v>0</v>
      </c>
      <c r="G207" s="43">
        <f>BIOMASS_Myell!N14</f>
        <v>9.43</v>
      </c>
      <c r="H207" s="43">
        <f>BIOMASS_Myell!O14</f>
        <v>9.7799999999999994</v>
      </c>
      <c r="I207" s="43">
        <f>BIOMASS_Myell!P14</f>
        <v>3.64</v>
      </c>
      <c r="J207" s="43">
        <f>BIOMASS_Myell!Q14</f>
        <v>7.0600000000000005</v>
      </c>
      <c r="K207" s="43">
        <f>BIOMASS_Myell!R14</f>
        <v>1</v>
      </c>
      <c r="L207" s="43">
        <f>BIOMASS_Myell!S14</f>
        <v>0</v>
      </c>
      <c r="M207" s="40">
        <f>BIOMASS_Myell!T14</f>
        <v>29.46</v>
      </c>
      <c r="N207" s="40">
        <f t="shared" si="39"/>
        <v>2.9119830328738066</v>
      </c>
      <c r="O207" s="40">
        <f t="shared" si="38"/>
        <v>4.0699893955461288</v>
      </c>
      <c r="Q207" s="40">
        <f t="shared" si="40"/>
        <v>0</v>
      </c>
      <c r="R207" s="40">
        <f t="shared" si="41"/>
        <v>0</v>
      </c>
    </row>
    <row r="208" spans="1:20" ht="15" customHeight="1" x14ac:dyDescent="0.35">
      <c r="A208" t="s">
        <v>1091</v>
      </c>
      <c r="B208" t="s">
        <v>1091</v>
      </c>
      <c r="C208">
        <v>0</v>
      </c>
      <c r="D208">
        <f t="shared" si="37"/>
        <v>0</v>
      </c>
      <c r="F208" s="3" t="s">
        <v>1092</v>
      </c>
      <c r="G208" s="3">
        <v>12</v>
      </c>
      <c r="H208" s="3">
        <v>13</v>
      </c>
      <c r="I208" s="3">
        <v>1</v>
      </c>
      <c r="J208" s="3">
        <v>9</v>
      </c>
      <c r="K208" s="3">
        <v>1</v>
      </c>
      <c r="L208" s="3"/>
      <c r="M208" s="3">
        <f t="shared" ref="M208:M228" si="42">IF(G208=0,N208,N208*G208)</f>
        <v>48</v>
      </c>
      <c r="N208" s="3">
        <f t="shared" si="39"/>
        <v>4</v>
      </c>
      <c r="O208" s="3">
        <f t="shared" si="38"/>
        <v>4.25</v>
      </c>
      <c r="P208" s="3" t="s">
        <v>1093</v>
      </c>
      <c r="Q208" s="3">
        <f t="shared" si="40"/>
        <v>3</v>
      </c>
      <c r="R208" s="3">
        <f t="shared" si="41"/>
        <v>0</v>
      </c>
      <c r="S208" s="3">
        <f t="shared" ref="S208:S248" si="43">R208-Q208</f>
        <v>-3</v>
      </c>
      <c r="T208" s="3"/>
    </row>
    <row r="209" spans="1:20" ht="15" customHeight="1" x14ac:dyDescent="0.35">
      <c r="A209" t="s">
        <v>1035</v>
      </c>
      <c r="B209" t="s">
        <v>1035</v>
      </c>
      <c r="C209">
        <v>0</v>
      </c>
      <c r="D209">
        <f t="shared" si="37"/>
        <v>0</v>
      </c>
      <c r="F209" t="s">
        <v>1639</v>
      </c>
      <c r="G209">
        <v>7</v>
      </c>
      <c r="H209">
        <v>9</v>
      </c>
      <c r="I209">
        <v>1</v>
      </c>
      <c r="J209">
        <v>5</v>
      </c>
      <c r="M209" s="3">
        <f t="shared" si="42"/>
        <v>26</v>
      </c>
      <c r="N209" s="3">
        <f t="shared" si="39"/>
        <v>3.7142857142857144</v>
      </c>
      <c r="O209" s="3">
        <f t="shared" si="38"/>
        <v>4.1428571428571432</v>
      </c>
      <c r="P209" t="s">
        <v>1640</v>
      </c>
      <c r="Q209" s="3">
        <f t="shared" si="40"/>
        <v>2</v>
      </c>
      <c r="R209" s="3">
        <f t="shared" si="41"/>
        <v>0</v>
      </c>
      <c r="S209" s="3">
        <f t="shared" si="43"/>
        <v>-2</v>
      </c>
      <c r="T209" s="3"/>
    </row>
    <row r="210" spans="1:20" ht="15" customHeight="1" x14ac:dyDescent="0.35">
      <c r="A210" t="s">
        <v>1036</v>
      </c>
      <c r="B210" t="s">
        <v>1036</v>
      </c>
      <c r="C210">
        <v>0</v>
      </c>
      <c r="D210">
        <f t="shared" si="37"/>
        <v>0</v>
      </c>
      <c r="F210" t="s">
        <v>1641</v>
      </c>
      <c r="G210">
        <v>7</v>
      </c>
      <c r="H210">
        <v>9</v>
      </c>
      <c r="I210">
        <v>1</v>
      </c>
      <c r="J210">
        <v>8</v>
      </c>
      <c r="K210">
        <v>1</v>
      </c>
      <c r="M210" s="3">
        <f t="shared" si="42"/>
        <v>26</v>
      </c>
      <c r="N210" s="3">
        <f t="shared" si="39"/>
        <v>3.7142857142857144</v>
      </c>
      <c r="O210" s="3">
        <f t="shared" si="38"/>
        <v>4.1428571428571432</v>
      </c>
      <c r="P210" t="s">
        <v>1642</v>
      </c>
      <c r="Q210" s="3">
        <f t="shared" si="40"/>
        <v>3</v>
      </c>
      <c r="R210" s="3">
        <f t="shared" si="41"/>
        <v>0</v>
      </c>
      <c r="S210" s="3">
        <f t="shared" si="43"/>
        <v>-3</v>
      </c>
      <c r="T210" s="3"/>
    </row>
    <row r="211" spans="1:20" ht="15" customHeight="1" x14ac:dyDescent="0.35">
      <c r="A211" t="s">
        <v>1037</v>
      </c>
      <c r="B211" t="s">
        <v>1037</v>
      </c>
      <c r="C211">
        <v>0</v>
      </c>
      <c r="D211">
        <f t="shared" si="37"/>
        <v>0</v>
      </c>
      <c r="F211" t="s">
        <v>1643</v>
      </c>
      <c r="G211">
        <v>7</v>
      </c>
      <c r="H211">
        <v>10</v>
      </c>
      <c r="I211">
        <v>1</v>
      </c>
      <c r="J211">
        <v>4</v>
      </c>
      <c r="M211" s="3">
        <f t="shared" si="42"/>
        <v>28</v>
      </c>
      <c r="N211" s="3">
        <f t="shared" si="39"/>
        <v>4</v>
      </c>
      <c r="O211" s="3">
        <f t="shared" si="38"/>
        <v>4.4285714285714288</v>
      </c>
      <c r="P211" t="s">
        <v>1644</v>
      </c>
      <c r="Q211" s="3">
        <f t="shared" si="40"/>
        <v>1</v>
      </c>
      <c r="R211" s="3">
        <f t="shared" si="41"/>
        <v>0</v>
      </c>
      <c r="S211" s="3">
        <f t="shared" si="43"/>
        <v>-1</v>
      </c>
      <c r="T211" s="3"/>
    </row>
    <row r="212" spans="1:20" ht="15" customHeight="1" x14ac:dyDescent="0.35">
      <c r="A212" t="s">
        <v>1038</v>
      </c>
      <c r="B212" t="s">
        <v>1038</v>
      </c>
      <c r="C212">
        <v>0</v>
      </c>
      <c r="D212">
        <f t="shared" si="37"/>
        <v>0</v>
      </c>
      <c r="F212" t="s">
        <v>1645</v>
      </c>
      <c r="G212">
        <v>7</v>
      </c>
      <c r="H212">
        <v>14</v>
      </c>
      <c r="I212">
        <v>2</v>
      </c>
      <c r="J212">
        <v>3</v>
      </c>
      <c r="M212" s="3">
        <f t="shared" si="42"/>
        <v>30</v>
      </c>
      <c r="N212" s="3">
        <f t="shared" si="39"/>
        <v>4.2857142857142856</v>
      </c>
      <c r="O212" s="3">
        <f t="shared" si="38"/>
        <v>5.1428571428571432</v>
      </c>
      <c r="P212" t="s">
        <v>1646</v>
      </c>
      <c r="Q212" s="3">
        <f t="shared" si="40"/>
        <v>1</v>
      </c>
      <c r="R212" s="3">
        <f t="shared" si="41"/>
        <v>1</v>
      </c>
      <c r="S212" s="3">
        <f t="shared" si="43"/>
        <v>0</v>
      </c>
      <c r="T212" s="3"/>
    </row>
    <row r="213" spans="1:20" ht="15" customHeight="1" x14ac:dyDescent="0.35">
      <c r="A213" t="s">
        <v>1094</v>
      </c>
      <c r="B213" t="s">
        <v>1094</v>
      </c>
      <c r="C213">
        <v>0</v>
      </c>
      <c r="D213">
        <f t="shared" si="37"/>
        <v>0</v>
      </c>
      <c r="F213" s="3" t="s">
        <v>1095</v>
      </c>
      <c r="G213" s="3">
        <v>21</v>
      </c>
      <c r="H213" s="3">
        <v>26</v>
      </c>
      <c r="I213" s="3">
        <v>7</v>
      </c>
      <c r="J213" s="3">
        <v>14</v>
      </c>
      <c r="K213" s="3">
        <v>2</v>
      </c>
      <c r="L213" s="3"/>
      <c r="M213" s="3">
        <f t="shared" si="42"/>
        <v>72</v>
      </c>
      <c r="N213" s="3">
        <f t="shared" si="39"/>
        <v>3.4285714285714284</v>
      </c>
      <c r="O213" s="3">
        <f t="shared" si="38"/>
        <v>4.4285714285714288</v>
      </c>
      <c r="P213" s="3" t="s">
        <v>1096</v>
      </c>
      <c r="Q213" s="3">
        <f t="shared" si="40"/>
        <v>2</v>
      </c>
      <c r="R213" s="3">
        <f t="shared" si="41"/>
        <v>1</v>
      </c>
      <c r="S213" s="3">
        <f t="shared" si="43"/>
        <v>-1</v>
      </c>
      <c r="T213" s="3"/>
    </row>
    <row r="214" spans="1:20" ht="15" customHeight="1" x14ac:dyDescent="0.35">
      <c r="A214" t="s">
        <v>1097</v>
      </c>
      <c r="B214" t="s">
        <v>1097</v>
      </c>
      <c r="C214">
        <v>0</v>
      </c>
      <c r="D214">
        <f t="shared" si="37"/>
        <v>0</v>
      </c>
      <c r="F214" s="3" t="s">
        <v>1098</v>
      </c>
      <c r="G214" s="3">
        <v>21</v>
      </c>
      <c r="H214" s="3">
        <v>27</v>
      </c>
      <c r="I214" s="3">
        <v>7</v>
      </c>
      <c r="J214" s="3">
        <v>14</v>
      </c>
      <c r="K214" s="3">
        <v>2</v>
      </c>
      <c r="L214" s="3"/>
      <c r="M214" s="3">
        <f t="shared" si="42"/>
        <v>74</v>
      </c>
      <c r="N214" s="3">
        <f t="shared" si="39"/>
        <v>3.5238095238095237</v>
      </c>
      <c r="O214" s="3">
        <f t="shared" si="38"/>
        <v>4.5238095238095237</v>
      </c>
      <c r="P214" s="3" t="s">
        <v>1099</v>
      </c>
      <c r="Q214" s="3">
        <f t="shared" si="40"/>
        <v>2</v>
      </c>
      <c r="R214" s="3">
        <f t="shared" si="41"/>
        <v>0</v>
      </c>
      <c r="S214" s="3">
        <f t="shared" si="43"/>
        <v>-2</v>
      </c>
      <c r="T214" s="3"/>
    </row>
    <row r="215" spans="1:20" ht="15" customHeight="1" x14ac:dyDescent="0.35">
      <c r="A215" t="s">
        <v>1100</v>
      </c>
      <c r="B215" t="s">
        <v>1100</v>
      </c>
      <c r="C215">
        <v>0</v>
      </c>
      <c r="D215">
        <f t="shared" si="37"/>
        <v>0</v>
      </c>
      <c r="F215" s="3" t="s">
        <v>1101</v>
      </c>
      <c r="G215" s="3">
        <v>21</v>
      </c>
      <c r="H215" s="3">
        <v>25</v>
      </c>
      <c r="I215" s="3">
        <v>7</v>
      </c>
      <c r="J215" s="3">
        <v>17</v>
      </c>
      <c r="K215" s="3">
        <v>3</v>
      </c>
      <c r="L215" s="3"/>
      <c r="M215" s="3">
        <f t="shared" si="42"/>
        <v>72</v>
      </c>
      <c r="N215" s="3">
        <f t="shared" si="39"/>
        <v>3.4285714285714284</v>
      </c>
      <c r="O215" s="3">
        <f t="shared" si="38"/>
        <v>4.4285714285714288</v>
      </c>
      <c r="P215" s="3" t="s">
        <v>1102</v>
      </c>
      <c r="Q215" s="3">
        <f t="shared" si="40"/>
        <v>4</v>
      </c>
      <c r="R215" s="3">
        <f t="shared" si="41"/>
        <v>1</v>
      </c>
      <c r="S215" s="3">
        <f t="shared" si="43"/>
        <v>-3</v>
      </c>
      <c r="T215" s="3"/>
    </row>
    <row r="216" spans="1:20" ht="15" customHeight="1" x14ac:dyDescent="0.35">
      <c r="A216" t="s">
        <v>1103</v>
      </c>
      <c r="B216" t="s">
        <v>1103</v>
      </c>
      <c r="C216">
        <v>0</v>
      </c>
      <c r="D216">
        <f t="shared" si="37"/>
        <v>0</v>
      </c>
      <c r="F216" s="3" t="s">
        <v>1104</v>
      </c>
      <c r="G216" s="3">
        <v>21</v>
      </c>
      <c r="H216" s="3">
        <v>26</v>
      </c>
      <c r="I216" s="3">
        <v>7</v>
      </c>
      <c r="J216" s="3">
        <v>17</v>
      </c>
      <c r="K216" s="3">
        <v>3</v>
      </c>
      <c r="L216" s="3"/>
      <c r="M216" s="3">
        <f t="shared" si="42"/>
        <v>74</v>
      </c>
      <c r="N216" s="3">
        <f t="shared" si="39"/>
        <v>3.5238095238095237</v>
      </c>
      <c r="O216" s="3">
        <f t="shared" si="38"/>
        <v>4.5238095238095237</v>
      </c>
      <c r="P216" s="3" t="s">
        <v>1105</v>
      </c>
      <c r="Q216" s="3">
        <f t="shared" si="40"/>
        <v>4</v>
      </c>
      <c r="R216" s="3">
        <f t="shared" si="41"/>
        <v>0</v>
      </c>
      <c r="S216" s="3">
        <f t="shared" si="43"/>
        <v>-4</v>
      </c>
      <c r="T216" s="3"/>
    </row>
    <row r="217" spans="1:20" ht="15" customHeight="1" x14ac:dyDescent="0.35">
      <c r="A217" t="s">
        <v>1106</v>
      </c>
      <c r="B217" t="s">
        <v>1106</v>
      </c>
      <c r="C217">
        <v>0</v>
      </c>
      <c r="D217">
        <f t="shared" si="37"/>
        <v>0</v>
      </c>
      <c r="F217" s="3" t="s">
        <v>1107</v>
      </c>
      <c r="G217" s="3">
        <v>5</v>
      </c>
      <c r="H217" s="3">
        <v>6</v>
      </c>
      <c r="I217" s="3">
        <v>2</v>
      </c>
      <c r="J217" s="3">
        <v>5</v>
      </c>
      <c r="K217" s="3"/>
      <c r="L217" s="3"/>
      <c r="M217" s="3">
        <f t="shared" si="42"/>
        <v>12</v>
      </c>
      <c r="N217" s="3">
        <f t="shared" si="39"/>
        <v>2.4</v>
      </c>
      <c r="O217" s="3">
        <f t="shared" si="38"/>
        <v>3.6</v>
      </c>
      <c r="P217" s="3" t="s">
        <v>1108</v>
      </c>
      <c r="Q217" s="3">
        <f t="shared" si="40"/>
        <v>2</v>
      </c>
      <c r="R217" s="3">
        <f t="shared" si="41"/>
        <v>0</v>
      </c>
      <c r="S217" s="3">
        <f t="shared" si="43"/>
        <v>-2</v>
      </c>
      <c r="T217" s="3"/>
    </row>
    <row r="218" spans="1:20" s="26" customFormat="1" ht="15" customHeight="1" x14ac:dyDescent="0.35">
      <c r="A218" t="s">
        <v>1109</v>
      </c>
      <c r="B218" t="s">
        <v>1109</v>
      </c>
      <c r="C218">
        <v>0</v>
      </c>
      <c r="D218">
        <f t="shared" si="37"/>
        <v>0</v>
      </c>
      <c r="E218"/>
      <c r="F218" s="3" t="s">
        <v>1110</v>
      </c>
      <c r="G218" s="3">
        <v>8</v>
      </c>
      <c r="H218" s="3">
        <v>13</v>
      </c>
      <c r="I218" s="3">
        <v>2</v>
      </c>
      <c r="J218" s="3">
        <v>9</v>
      </c>
      <c r="K218" s="3">
        <v>1</v>
      </c>
      <c r="L218" s="3"/>
      <c r="M218" s="3">
        <f t="shared" si="42"/>
        <v>28</v>
      </c>
      <c r="N218" s="3">
        <f t="shared" si="39"/>
        <v>3.5</v>
      </c>
      <c r="O218" s="3">
        <f t="shared" si="38"/>
        <v>4.25</v>
      </c>
      <c r="P218" s="3" t="s">
        <v>1111</v>
      </c>
      <c r="Q218" s="3">
        <f t="shared" si="40"/>
        <v>2</v>
      </c>
      <c r="R218" s="3">
        <f t="shared" si="41"/>
        <v>0</v>
      </c>
      <c r="S218" s="3">
        <f t="shared" si="43"/>
        <v>-2</v>
      </c>
      <c r="T218" s="3"/>
    </row>
    <row r="219" spans="1:20" ht="15" customHeight="1" x14ac:dyDescent="0.35">
      <c r="A219" t="s">
        <v>1112</v>
      </c>
      <c r="B219" t="s">
        <v>1112</v>
      </c>
      <c r="C219">
        <v>0</v>
      </c>
      <c r="D219">
        <f t="shared" si="37"/>
        <v>0</v>
      </c>
      <c r="F219" s="3" t="s">
        <v>1113</v>
      </c>
      <c r="G219" s="3"/>
      <c r="H219" s="3">
        <v>3</v>
      </c>
      <c r="I219" s="3">
        <v>1</v>
      </c>
      <c r="J219" s="3"/>
      <c r="K219" s="3"/>
      <c r="L219" s="3"/>
      <c r="M219" s="3">
        <f t="shared" si="42"/>
        <v>0</v>
      </c>
      <c r="N219" s="3">
        <f t="shared" si="39"/>
        <v>0</v>
      </c>
      <c r="O219" s="3">
        <f t="shared" si="38"/>
        <v>3</v>
      </c>
      <c r="P219" s="3" t="s">
        <v>1114</v>
      </c>
      <c r="Q219" s="3">
        <f t="shared" si="40"/>
        <v>0</v>
      </c>
      <c r="R219" s="3">
        <f t="shared" si="41"/>
        <v>0</v>
      </c>
      <c r="S219" s="3">
        <f t="shared" si="43"/>
        <v>0</v>
      </c>
      <c r="T219" s="3"/>
    </row>
    <row r="220" spans="1:20" s="40" customFormat="1" ht="15" customHeight="1" x14ac:dyDescent="0.35">
      <c r="A220" s="40" t="s">
        <v>1235</v>
      </c>
      <c r="B220" s="40" t="s">
        <v>1235</v>
      </c>
      <c r="C220" s="40">
        <v>0</v>
      </c>
      <c r="D220" s="40">
        <f t="shared" si="37"/>
        <v>1</v>
      </c>
      <c r="F220" s="40" t="s">
        <v>1113</v>
      </c>
      <c r="H220" s="40">
        <v>3</v>
      </c>
      <c r="I220" s="40">
        <v>1</v>
      </c>
      <c r="M220" s="40">
        <f t="shared" si="42"/>
        <v>0</v>
      </c>
      <c r="N220" s="40">
        <f t="shared" si="39"/>
        <v>0</v>
      </c>
      <c r="O220" s="40">
        <f t="shared" si="38"/>
        <v>3</v>
      </c>
      <c r="P220" s="40" t="s">
        <v>1114</v>
      </c>
      <c r="Q220" s="40">
        <f t="shared" si="40"/>
        <v>0</v>
      </c>
      <c r="R220" s="40">
        <f t="shared" si="41"/>
        <v>0</v>
      </c>
      <c r="S220" s="40">
        <f t="shared" si="43"/>
        <v>0</v>
      </c>
    </row>
    <row r="221" spans="1:20" ht="15" customHeight="1" x14ac:dyDescent="0.35">
      <c r="A221" t="s">
        <v>1115</v>
      </c>
      <c r="B221" t="s">
        <v>1115</v>
      </c>
      <c r="C221">
        <v>0</v>
      </c>
      <c r="D221">
        <f t="shared" si="37"/>
        <v>0</v>
      </c>
      <c r="F221" s="3" t="s">
        <v>1116</v>
      </c>
      <c r="G221" s="3"/>
      <c r="H221" s="3"/>
      <c r="I221" s="3"/>
      <c r="J221" s="3">
        <v>2</v>
      </c>
      <c r="K221" s="3"/>
      <c r="L221" s="3"/>
      <c r="M221" s="3">
        <f t="shared" si="42"/>
        <v>-4</v>
      </c>
      <c r="N221" s="3">
        <f t="shared" si="39"/>
        <v>-4</v>
      </c>
      <c r="O221" s="3">
        <f t="shared" si="38"/>
        <v>-4</v>
      </c>
      <c r="P221" s="3" t="s">
        <v>1117</v>
      </c>
      <c r="Q221" s="3">
        <f t="shared" si="40"/>
        <v>0</v>
      </c>
      <c r="R221" s="3">
        <f t="shared" si="41"/>
        <v>0</v>
      </c>
      <c r="S221" s="3">
        <f t="shared" si="43"/>
        <v>0</v>
      </c>
      <c r="T221" s="3"/>
    </row>
    <row r="222" spans="1:20" s="40" customFormat="1" ht="15" customHeight="1" x14ac:dyDescent="0.35">
      <c r="A222" s="40" t="s">
        <v>1598</v>
      </c>
      <c r="B222" s="40" t="s">
        <v>1598</v>
      </c>
      <c r="C222" s="40">
        <v>0</v>
      </c>
      <c r="D222" s="40">
        <f t="shared" si="37"/>
        <v>1</v>
      </c>
      <c r="F222" s="40" t="s">
        <v>1116</v>
      </c>
      <c r="J222" s="40">
        <v>2</v>
      </c>
      <c r="M222" s="40">
        <f t="shared" si="42"/>
        <v>-4</v>
      </c>
      <c r="N222" s="40">
        <f t="shared" si="39"/>
        <v>-4</v>
      </c>
      <c r="O222" s="40">
        <f t="shared" si="38"/>
        <v>-4</v>
      </c>
      <c r="P222" s="40" t="s">
        <v>1117</v>
      </c>
      <c r="Q222" s="40">
        <f t="shared" si="40"/>
        <v>0</v>
      </c>
      <c r="R222" s="40">
        <f t="shared" si="41"/>
        <v>0</v>
      </c>
      <c r="S222" s="40">
        <f t="shared" si="43"/>
        <v>0</v>
      </c>
    </row>
    <row r="223" spans="1:20" ht="15" customHeight="1" x14ac:dyDescent="0.35">
      <c r="A223" t="s">
        <v>1118</v>
      </c>
      <c r="B223" t="s">
        <v>1118</v>
      </c>
      <c r="C223">
        <v>0</v>
      </c>
      <c r="D223">
        <f t="shared" si="37"/>
        <v>0</v>
      </c>
      <c r="F223" s="3" t="s">
        <v>1119</v>
      </c>
      <c r="G223" s="3">
        <v>5</v>
      </c>
      <c r="H223" s="3">
        <v>9</v>
      </c>
      <c r="I223" s="3">
        <v>1</v>
      </c>
      <c r="J223" s="3">
        <v>4</v>
      </c>
      <c r="K223" s="3"/>
      <c r="L223" s="3"/>
      <c r="M223" s="3">
        <f t="shared" si="42"/>
        <v>18</v>
      </c>
      <c r="N223" s="3">
        <f t="shared" si="39"/>
        <v>3.6</v>
      </c>
      <c r="O223" s="3">
        <f t="shared" si="38"/>
        <v>4.2</v>
      </c>
      <c r="P223" s="3" t="s">
        <v>1120</v>
      </c>
      <c r="Q223" s="3">
        <f t="shared" si="40"/>
        <v>1</v>
      </c>
      <c r="R223" s="3">
        <f t="shared" si="41"/>
        <v>1</v>
      </c>
      <c r="S223" s="3">
        <f t="shared" si="43"/>
        <v>0</v>
      </c>
      <c r="T223" s="3"/>
    </row>
    <row r="224" spans="1:20" ht="15" customHeight="1" x14ac:dyDescent="0.35">
      <c r="A224" t="s">
        <v>1121</v>
      </c>
      <c r="B224" t="s">
        <v>1121</v>
      </c>
      <c r="C224">
        <v>0</v>
      </c>
      <c r="D224">
        <f t="shared" si="37"/>
        <v>0</v>
      </c>
      <c r="F224" s="3" t="s">
        <v>1122</v>
      </c>
      <c r="G224" s="3">
        <v>4</v>
      </c>
      <c r="H224" s="3">
        <v>8</v>
      </c>
      <c r="I224" s="3">
        <v>1</v>
      </c>
      <c r="J224" s="3">
        <v>6</v>
      </c>
      <c r="K224" s="3">
        <v>1</v>
      </c>
      <c r="L224" s="3"/>
      <c r="M224" s="3">
        <f t="shared" si="42"/>
        <v>16</v>
      </c>
      <c r="N224" s="3">
        <f t="shared" si="39"/>
        <v>4</v>
      </c>
      <c r="O224" s="3">
        <f t="shared" si="38"/>
        <v>4.75</v>
      </c>
      <c r="P224" s="3" t="s">
        <v>1123</v>
      </c>
      <c r="Q224" s="3">
        <f t="shared" si="40"/>
        <v>3</v>
      </c>
      <c r="R224" s="3">
        <f t="shared" si="41"/>
        <v>1</v>
      </c>
      <c r="S224" s="3">
        <f t="shared" si="43"/>
        <v>-2</v>
      </c>
      <c r="T224" s="3"/>
    </row>
    <row r="225" spans="1:20" ht="15" customHeight="1" x14ac:dyDescent="0.35">
      <c r="A225" t="s">
        <v>1124</v>
      </c>
      <c r="B225" t="s">
        <v>1124</v>
      </c>
      <c r="C225">
        <v>0</v>
      </c>
      <c r="D225">
        <f t="shared" si="37"/>
        <v>0</v>
      </c>
      <c r="F225" s="3" t="s">
        <v>1125</v>
      </c>
      <c r="G225" s="3">
        <v>5</v>
      </c>
      <c r="H225" s="3">
        <v>13</v>
      </c>
      <c r="I225" s="3">
        <v>2</v>
      </c>
      <c r="J225" s="3">
        <v>2</v>
      </c>
      <c r="K225" s="3"/>
      <c r="L225" s="3"/>
      <c r="M225" s="3">
        <f t="shared" si="42"/>
        <v>22</v>
      </c>
      <c r="N225" s="3">
        <f t="shared" si="39"/>
        <v>4.4000000000000004</v>
      </c>
      <c r="O225" s="3">
        <f t="shared" si="38"/>
        <v>5.6</v>
      </c>
      <c r="P225" s="3" t="s">
        <v>1126</v>
      </c>
      <c r="Q225" s="3">
        <f t="shared" si="40"/>
        <v>1</v>
      </c>
      <c r="R225" s="3">
        <f t="shared" si="41"/>
        <v>2</v>
      </c>
      <c r="S225" s="3">
        <f t="shared" si="43"/>
        <v>1</v>
      </c>
      <c r="T225" s="3"/>
    </row>
    <row r="226" spans="1:20" ht="15" customHeight="1" x14ac:dyDescent="0.35">
      <c r="A226" t="s">
        <v>1127</v>
      </c>
      <c r="B226" t="s">
        <v>1127</v>
      </c>
      <c r="C226">
        <v>0</v>
      </c>
      <c r="D226">
        <f t="shared" si="37"/>
        <v>0</v>
      </c>
      <c r="F226" s="3" t="s">
        <v>1128</v>
      </c>
      <c r="G226" s="3">
        <v>5</v>
      </c>
      <c r="H226" s="3">
        <v>3</v>
      </c>
      <c r="I226" s="3">
        <v>2</v>
      </c>
      <c r="J226" s="3">
        <v>4</v>
      </c>
      <c r="K226" s="3"/>
      <c r="L226" s="3"/>
      <c r="M226" s="3">
        <f t="shared" si="42"/>
        <v>10</v>
      </c>
      <c r="N226" s="3">
        <f t="shared" si="39"/>
        <v>2</v>
      </c>
      <c r="O226" s="3">
        <f t="shared" si="38"/>
        <v>3.2</v>
      </c>
      <c r="P226" s="3" t="s">
        <v>1129</v>
      </c>
      <c r="Q226" s="3">
        <f t="shared" si="40"/>
        <v>1</v>
      </c>
      <c r="R226" s="3">
        <f t="shared" si="41"/>
        <v>0</v>
      </c>
      <c r="S226" s="3">
        <f t="shared" si="43"/>
        <v>-1</v>
      </c>
      <c r="T226" s="3"/>
    </row>
    <row r="227" spans="1:20" ht="15" customHeight="1" x14ac:dyDescent="0.35">
      <c r="A227" t="s">
        <v>1130</v>
      </c>
      <c r="B227" t="s">
        <v>1130</v>
      </c>
      <c r="C227">
        <v>0</v>
      </c>
      <c r="D227">
        <f t="shared" si="37"/>
        <v>0</v>
      </c>
      <c r="F227" s="3" t="s">
        <v>1131</v>
      </c>
      <c r="G227" s="3">
        <v>10</v>
      </c>
      <c r="H227" s="3">
        <v>10</v>
      </c>
      <c r="I227" s="3">
        <v>2</v>
      </c>
      <c r="J227" s="3">
        <v>11</v>
      </c>
      <c r="K227" s="3">
        <v>1</v>
      </c>
      <c r="L227" s="3"/>
      <c r="M227" s="3">
        <f t="shared" si="42"/>
        <v>30</v>
      </c>
      <c r="N227" s="3">
        <f t="shared" si="39"/>
        <v>3</v>
      </c>
      <c r="O227" s="3">
        <f t="shared" si="38"/>
        <v>3.6</v>
      </c>
      <c r="P227" s="3" t="s">
        <v>1132</v>
      </c>
      <c r="Q227" s="3">
        <f t="shared" si="40"/>
        <v>3</v>
      </c>
      <c r="R227" s="3">
        <f t="shared" si="41"/>
        <v>0</v>
      </c>
      <c r="S227" s="3">
        <f t="shared" si="43"/>
        <v>-3</v>
      </c>
      <c r="T227" s="3"/>
    </row>
    <row r="228" spans="1:20" ht="15" customHeight="1" x14ac:dyDescent="0.35">
      <c r="A228" t="s">
        <v>1133</v>
      </c>
      <c r="B228" t="s">
        <v>1133</v>
      </c>
      <c r="C228">
        <v>0</v>
      </c>
      <c r="D228">
        <f t="shared" si="37"/>
        <v>0</v>
      </c>
      <c r="F228" s="3" t="s">
        <v>1134</v>
      </c>
      <c r="G228" s="3">
        <v>4</v>
      </c>
      <c r="H228" s="3">
        <v>2</v>
      </c>
      <c r="I228" s="3"/>
      <c r="J228" s="3">
        <v>5</v>
      </c>
      <c r="K228" s="3"/>
      <c r="L228" s="3"/>
      <c r="M228" s="3">
        <f t="shared" si="42"/>
        <v>10</v>
      </c>
      <c r="N228" s="3">
        <f t="shared" si="39"/>
        <v>2.5</v>
      </c>
      <c r="O228" s="3">
        <f t="shared" si="38"/>
        <v>2.5</v>
      </c>
      <c r="P228" s="3" t="s">
        <v>1135</v>
      </c>
      <c r="Q228" s="3">
        <f t="shared" si="40"/>
        <v>2</v>
      </c>
      <c r="R228" s="3">
        <f t="shared" si="41"/>
        <v>0</v>
      </c>
      <c r="S228" s="3">
        <f t="shared" si="43"/>
        <v>-2</v>
      </c>
      <c r="T228" s="3"/>
    </row>
    <row r="229" spans="1:20" s="3" customFormat="1" ht="15" customHeight="1" x14ac:dyDescent="0.25">
      <c r="A229" s="3" t="s">
        <v>1599</v>
      </c>
      <c r="B229" s="3" t="s">
        <v>1599</v>
      </c>
      <c r="C229" s="3">
        <v>0</v>
      </c>
      <c r="D229" s="3">
        <f t="shared" si="37"/>
        <v>0</v>
      </c>
      <c r="G229" s="3">
        <f>BIOMASS_Geo!N52</f>
        <v>519.70000000000005</v>
      </c>
      <c r="H229" s="3">
        <f>BIOMASS_Geo!O52</f>
        <v>823.59999999999991</v>
      </c>
      <c r="I229" s="3">
        <f>BIOMASS_Geo!P52</f>
        <v>131.9</v>
      </c>
      <c r="J229" s="3">
        <f>BIOMASS_Geo!Q52</f>
        <v>146.69999999999999</v>
      </c>
      <c r="K229" s="3">
        <f>BIOMASS_Geo!R52</f>
        <v>0</v>
      </c>
      <c r="L229" s="3">
        <f>BIOMASS_Geo!S52</f>
        <v>2.7</v>
      </c>
      <c r="M229" s="3">
        <f>BIOMASS_Geo!T44</f>
        <v>2207.8000000000002</v>
      </c>
      <c r="N229" s="3">
        <f t="shared" si="39"/>
        <v>4.2484125456994422</v>
      </c>
      <c r="O229" s="3">
        <f t="shared" si="38"/>
        <v>5.0098133538579948</v>
      </c>
      <c r="Q229" s="3">
        <f t="shared" si="40"/>
        <v>0</v>
      </c>
      <c r="R229" s="3">
        <f t="shared" si="41"/>
        <v>0</v>
      </c>
      <c r="S229" s="3">
        <f t="shared" si="43"/>
        <v>0</v>
      </c>
    </row>
    <row r="230" spans="1:20" ht="15" customHeight="1" x14ac:dyDescent="0.35">
      <c r="A230" t="s">
        <v>1136</v>
      </c>
      <c r="B230" t="s">
        <v>1136</v>
      </c>
      <c r="C230">
        <v>0</v>
      </c>
      <c r="D230">
        <f t="shared" si="37"/>
        <v>0</v>
      </c>
      <c r="F230" s="3" t="s">
        <v>1137</v>
      </c>
      <c r="G230" s="3">
        <v>9</v>
      </c>
      <c r="H230" s="3">
        <v>7</v>
      </c>
      <c r="I230" s="3"/>
      <c r="J230" s="3">
        <v>3</v>
      </c>
      <c r="K230" s="3"/>
      <c r="L230" s="3"/>
      <c r="M230" s="3">
        <f t="shared" ref="M230:M256" si="44">IF(G230=0,N230,N230*G230)</f>
        <v>38</v>
      </c>
      <c r="N230" s="3">
        <f t="shared" si="39"/>
        <v>4.2222222222222223</v>
      </c>
      <c r="O230" s="3">
        <f t="shared" si="38"/>
        <v>4.2222222222222223</v>
      </c>
      <c r="P230" s="3" t="s">
        <v>1138</v>
      </c>
      <c r="Q230" s="3">
        <f t="shared" si="40"/>
        <v>1</v>
      </c>
      <c r="R230" s="3">
        <f t="shared" si="41"/>
        <v>0</v>
      </c>
      <c r="S230" s="3">
        <f t="shared" si="43"/>
        <v>-1</v>
      </c>
      <c r="T230" s="3"/>
    </row>
    <row r="231" spans="1:20" ht="15" customHeight="1" x14ac:dyDescent="0.35">
      <c r="A231" t="s">
        <v>1139</v>
      </c>
      <c r="B231" t="s">
        <v>1139</v>
      </c>
      <c r="C231">
        <v>0</v>
      </c>
      <c r="D231">
        <f t="shared" si="37"/>
        <v>0</v>
      </c>
      <c r="F231" s="3" t="s">
        <v>1140</v>
      </c>
      <c r="G231" s="3"/>
      <c r="H231" s="3">
        <v>1</v>
      </c>
      <c r="I231" s="3"/>
      <c r="J231" s="3">
        <v>4</v>
      </c>
      <c r="K231" s="3">
        <v>1</v>
      </c>
      <c r="L231" s="3"/>
      <c r="M231" s="3">
        <f t="shared" si="44"/>
        <v>0</v>
      </c>
      <c r="N231" s="3">
        <f t="shared" si="39"/>
        <v>0</v>
      </c>
      <c r="O231" s="3">
        <f t="shared" si="38"/>
        <v>0</v>
      </c>
      <c r="P231" s="3" t="s">
        <v>1141</v>
      </c>
      <c r="Q231" s="3">
        <f t="shared" si="40"/>
        <v>2</v>
      </c>
      <c r="R231" s="3">
        <f t="shared" si="41"/>
        <v>0</v>
      </c>
      <c r="S231" s="3">
        <f t="shared" si="43"/>
        <v>-2</v>
      </c>
      <c r="T231" s="3"/>
    </row>
    <row r="232" spans="1:20" s="40" customFormat="1" ht="15" customHeight="1" x14ac:dyDescent="0.35">
      <c r="A232" s="40" t="s">
        <v>1232</v>
      </c>
      <c r="B232" s="40" t="s">
        <v>1232</v>
      </c>
      <c r="C232" s="40">
        <v>0</v>
      </c>
      <c r="D232" s="40">
        <f t="shared" si="37"/>
        <v>1</v>
      </c>
      <c r="F232" s="40" t="s">
        <v>1140</v>
      </c>
      <c r="H232" s="40">
        <v>1</v>
      </c>
      <c r="J232" s="40">
        <v>4</v>
      </c>
      <c r="K232" s="40">
        <v>1</v>
      </c>
      <c r="M232" s="40">
        <f t="shared" si="44"/>
        <v>0</v>
      </c>
      <c r="N232" s="40">
        <f t="shared" si="39"/>
        <v>0</v>
      </c>
      <c r="O232" s="40">
        <f t="shared" si="38"/>
        <v>0</v>
      </c>
      <c r="P232" s="40" t="s">
        <v>1141</v>
      </c>
      <c r="Q232" s="40">
        <f t="shared" si="40"/>
        <v>2</v>
      </c>
      <c r="R232" s="40">
        <f t="shared" si="41"/>
        <v>0</v>
      </c>
      <c r="S232" s="40">
        <f t="shared" si="43"/>
        <v>-2</v>
      </c>
    </row>
    <row r="233" spans="1:20" ht="15" customHeight="1" x14ac:dyDescent="0.35">
      <c r="A233" t="s">
        <v>1142</v>
      </c>
      <c r="B233" t="s">
        <v>1142</v>
      </c>
      <c r="C233">
        <v>0</v>
      </c>
      <c r="D233">
        <f t="shared" si="37"/>
        <v>0</v>
      </c>
      <c r="F233" s="3" t="s">
        <v>1143</v>
      </c>
      <c r="G233" s="3">
        <v>3</v>
      </c>
      <c r="H233" s="3">
        <v>2</v>
      </c>
      <c r="I233" s="3"/>
      <c r="J233" s="3">
        <v>6</v>
      </c>
      <c r="K233" s="3">
        <v>1</v>
      </c>
      <c r="L233" s="3"/>
      <c r="M233" s="3">
        <f t="shared" si="44"/>
        <v>10</v>
      </c>
      <c r="N233" s="3">
        <f t="shared" si="39"/>
        <v>3.3333333333333335</v>
      </c>
      <c r="O233" s="3">
        <f t="shared" si="38"/>
        <v>3.3333333333333335</v>
      </c>
      <c r="P233" s="3" t="s">
        <v>1144</v>
      </c>
      <c r="Q233" s="3">
        <f t="shared" si="40"/>
        <v>3</v>
      </c>
      <c r="R233" s="3">
        <f t="shared" si="41"/>
        <v>0</v>
      </c>
      <c r="S233" s="3">
        <f t="shared" si="43"/>
        <v>-3</v>
      </c>
      <c r="T233" s="3"/>
    </row>
    <row r="234" spans="1:20" ht="15" customHeight="1" x14ac:dyDescent="0.35">
      <c r="A234" t="s">
        <v>1145</v>
      </c>
      <c r="B234" t="s">
        <v>1145</v>
      </c>
      <c r="C234">
        <v>0</v>
      </c>
      <c r="D234">
        <f t="shared" si="37"/>
        <v>0</v>
      </c>
      <c r="F234" s="3" t="s">
        <v>1146</v>
      </c>
      <c r="G234" s="3">
        <v>15</v>
      </c>
      <c r="H234" s="3">
        <v>19</v>
      </c>
      <c r="I234" s="3">
        <v>5</v>
      </c>
      <c r="J234" s="3">
        <v>14</v>
      </c>
      <c r="K234" s="3">
        <v>2</v>
      </c>
      <c r="L234" s="3"/>
      <c r="M234" s="3">
        <f t="shared" si="44"/>
        <v>50</v>
      </c>
      <c r="N234" s="3">
        <f t="shared" si="39"/>
        <v>3.3333333333333335</v>
      </c>
      <c r="O234" s="3">
        <f t="shared" si="38"/>
        <v>4.333333333333333</v>
      </c>
      <c r="P234" s="3" t="s">
        <v>1147</v>
      </c>
      <c r="Q234" s="3">
        <f t="shared" si="40"/>
        <v>4</v>
      </c>
      <c r="R234" s="3">
        <f t="shared" si="41"/>
        <v>0</v>
      </c>
      <c r="S234" s="3">
        <f t="shared" si="43"/>
        <v>-4</v>
      </c>
      <c r="T234" s="3"/>
    </row>
    <row r="235" spans="1:20" ht="15" customHeight="1" x14ac:dyDescent="0.35">
      <c r="A235" t="s">
        <v>1148</v>
      </c>
      <c r="B235" t="s">
        <v>1148</v>
      </c>
      <c r="C235">
        <v>0</v>
      </c>
      <c r="D235">
        <f t="shared" si="37"/>
        <v>0</v>
      </c>
      <c r="F235" s="3" t="s">
        <v>1149</v>
      </c>
      <c r="G235" s="3">
        <v>15</v>
      </c>
      <c r="H235" s="3">
        <v>19</v>
      </c>
      <c r="I235" s="3">
        <v>5</v>
      </c>
      <c r="J235" s="3">
        <v>20</v>
      </c>
      <c r="K235" s="3">
        <v>4</v>
      </c>
      <c r="L235" s="3"/>
      <c r="M235" s="3">
        <f t="shared" si="44"/>
        <v>50</v>
      </c>
      <c r="N235" s="3">
        <f t="shared" ref="N235:N266" si="45">IF(G235=0,(4*G235+H235-2*J235-3*I235+5*K235-2*L235-S235),(4*G235+H235-2*J235-3*I235+5*K235-2*L235-S235)/G235)</f>
        <v>3.3333333333333335</v>
      </c>
      <c r="O235" s="3">
        <f t="shared" si="38"/>
        <v>4.333333333333333</v>
      </c>
      <c r="P235" s="3" t="s">
        <v>1150</v>
      </c>
      <c r="Q235" s="3">
        <f t="shared" ref="Q235:Q266" si="46">SUM(LEN($P235)-LEN(SUBSTITUTE($P235,"-","")))/LEN("-")</f>
        <v>6</v>
      </c>
      <c r="R235" s="3">
        <f t="shared" ref="R235:R266" si="47">SUM(LEN($P235)-LEN(SUBSTITUTE($P235,"+","")))/LEN("+")</f>
        <v>0</v>
      </c>
      <c r="S235" s="3">
        <f t="shared" si="43"/>
        <v>-6</v>
      </c>
      <c r="T235" s="3"/>
    </row>
    <row r="236" spans="1:20" ht="15" customHeight="1" x14ac:dyDescent="0.35">
      <c r="A236" t="s">
        <v>1151</v>
      </c>
      <c r="B236" t="s">
        <v>1151</v>
      </c>
      <c r="C236">
        <v>0</v>
      </c>
      <c r="D236">
        <f t="shared" si="37"/>
        <v>0</v>
      </c>
      <c r="F236" s="3" t="s">
        <v>1152</v>
      </c>
      <c r="G236" s="3">
        <v>15</v>
      </c>
      <c r="H236" s="3">
        <v>21</v>
      </c>
      <c r="I236" s="3">
        <v>5</v>
      </c>
      <c r="J236" s="3">
        <v>15</v>
      </c>
      <c r="K236" s="3">
        <v>2</v>
      </c>
      <c r="L236" s="3"/>
      <c r="M236" s="3">
        <f t="shared" si="44"/>
        <v>50</v>
      </c>
      <c r="N236" s="3">
        <f t="shared" si="45"/>
        <v>3.3333333333333335</v>
      </c>
      <c r="O236" s="3">
        <f t="shared" si="38"/>
        <v>4.333333333333333</v>
      </c>
      <c r="P236" s="3" t="s">
        <v>1153</v>
      </c>
      <c r="Q236" s="3">
        <f t="shared" si="46"/>
        <v>4</v>
      </c>
      <c r="R236" s="3">
        <f t="shared" si="47"/>
        <v>0</v>
      </c>
      <c r="S236" s="3">
        <f t="shared" si="43"/>
        <v>-4</v>
      </c>
      <c r="T236" s="3"/>
    </row>
    <row r="237" spans="1:20" ht="15" customHeight="1" x14ac:dyDescent="0.35">
      <c r="A237" t="s">
        <v>1154</v>
      </c>
      <c r="B237" t="s">
        <v>1154</v>
      </c>
      <c r="C237">
        <v>0</v>
      </c>
      <c r="D237">
        <f t="shared" si="37"/>
        <v>0</v>
      </c>
      <c r="F237" s="3" t="s">
        <v>1152</v>
      </c>
      <c r="G237" s="3">
        <v>15</v>
      </c>
      <c r="H237" s="3">
        <v>21</v>
      </c>
      <c r="I237" s="3">
        <v>5</v>
      </c>
      <c r="J237" s="3">
        <v>15</v>
      </c>
      <c r="K237" s="3">
        <v>2</v>
      </c>
      <c r="L237" s="3"/>
      <c r="M237" s="3">
        <f t="shared" si="44"/>
        <v>50</v>
      </c>
      <c r="N237" s="3">
        <f t="shared" si="45"/>
        <v>3.3333333333333335</v>
      </c>
      <c r="O237" s="3">
        <f t="shared" si="38"/>
        <v>4.333333333333333</v>
      </c>
      <c r="P237" s="3" t="s">
        <v>1155</v>
      </c>
      <c r="Q237" s="3">
        <f t="shared" si="46"/>
        <v>4</v>
      </c>
      <c r="R237" s="3">
        <f t="shared" si="47"/>
        <v>0</v>
      </c>
      <c r="S237" s="3">
        <f t="shared" si="43"/>
        <v>-4</v>
      </c>
      <c r="T237" s="3"/>
    </row>
    <row r="238" spans="1:20" ht="15" customHeight="1" x14ac:dyDescent="0.35">
      <c r="A238" t="s">
        <v>1156</v>
      </c>
      <c r="B238" t="s">
        <v>1156</v>
      </c>
      <c r="C238">
        <v>0</v>
      </c>
      <c r="D238">
        <f t="shared" si="37"/>
        <v>0</v>
      </c>
      <c r="F238" s="3" t="s">
        <v>1157</v>
      </c>
      <c r="G238" s="3">
        <v>9</v>
      </c>
      <c r="H238" s="3">
        <v>7</v>
      </c>
      <c r="I238" s="3"/>
      <c r="J238" s="3">
        <v>4</v>
      </c>
      <c r="K238" s="3"/>
      <c r="L238" s="3"/>
      <c r="M238" s="3">
        <f t="shared" si="44"/>
        <v>36</v>
      </c>
      <c r="N238" s="3">
        <f t="shared" si="45"/>
        <v>4</v>
      </c>
      <c r="O238" s="3">
        <f t="shared" si="38"/>
        <v>4</v>
      </c>
      <c r="P238" s="3" t="s">
        <v>1650</v>
      </c>
      <c r="Q238" s="3">
        <f t="shared" si="46"/>
        <v>1</v>
      </c>
      <c r="R238" s="3">
        <f t="shared" si="47"/>
        <v>0</v>
      </c>
      <c r="S238" s="3">
        <f t="shared" si="43"/>
        <v>-1</v>
      </c>
      <c r="T238" s="3"/>
    </row>
    <row r="239" spans="1:20" ht="15" customHeight="1" x14ac:dyDescent="0.35">
      <c r="A239" s="3" t="s">
        <v>2112</v>
      </c>
      <c r="B239" s="3" t="s">
        <v>2112</v>
      </c>
      <c r="C239" s="3">
        <v>0</v>
      </c>
      <c r="D239">
        <f t="shared" si="37"/>
        <v>0</v>
      </c>
      <c r="E239" s="3"/>
      <c r="F239" s="3" t="s">
        <v>2150</v>
      </c>
      <c r="G239" s="3">
        <v>20</v>
      </c>
      <c r="H239" s="3">
        <v>40</v>
      </c>
      <c r="I239" s="3"/>
      <c r="J239" s="3">
        <v>1</v>
      </c>
      <c r="K239" s="3"/>
      <c r="L239" s="3"/>
      <c r="M239" s="3">
        <f t="shared" si="44"/>
        <v>118</v>
      </c>
      <c r="N239" s="3">
        <f t="shared" si="45"/>
        <v>5.9</v>
      </c>
      <c r="O239" s="3">
        <f t="shared" si="38"/>
        <v>5.9</v>
      </c>
      <c r="P239" s="3" t="s">
        <v>2127</v>
      </c>
      <c r="Q239" s="3">
        <f t="shared" si="46"/>
        <v>0</v>
      </c>
      <c r="R239" s="3">
        <f t="shared" si="47"/>
        <v>0</v>
      </c>
      <c r="S239" s="3">
        <f t="shared" si="43"/>
        <v>0</v>
      </c>
      <c r="T239" s="3"/>
    </row>
    <row r="240" spans="1:20" ht="15" customHeight="1" x14ac:dyDescent="0.35">
      <c r="A240" s="3" t="s">
        <v>2113</v>
      </c>
      <c r="B240" s="3" t="s">
        <v>2113</v>
      </c>
      <c r="C240" s="3">
        <v>0</v>
      </c>
      <c r="D240">
        <f t="shared" si="37"/>
        <v>0</v>
      </c>
      <c r="E240" s="3"/>
      <c r="F240" s="3" t="s">
        <v>2128</v>
      </c>
      <c r="G240" s="3">
        <v>20</v>
      </c>
      <c r="H240" s="3">
        <v>39</v>
      </c>
      <c r="I240" s="3"/>
      <c r="J240" s="3">
        <v>2</v>
      </c>
      <c r="K240" s="3"/>
      <c r="L240" s="3"/>
      <c r="M240" s="3">
        <f t="shared" si="44"/>
        <v>116</v>
      </c>
      <c r="N240" s="3">
        <f t="shared" si="45"/>
        <v>5.8</v>
      </c>
      <c r="O240" s="3">
        <f t="shared" si="38"/>
        <v>5.8</v>
      </c>
      <c r="P240" s="3" t="s">
        <v>2129</v>
      </c>
      <c r="Q240" s="3">
        <f t="shared" si="46"/>
        <v>1</v>
      </c>
      <c r="R240" s="3">
        <f t="shared" si="47"/>
        <v>0</v>
      </c>
      <c r="S240" s="3">
        <f t="shared" si="43"/>
        <v>-1</v>
      </c>
      <c r="T240" s="3"/>
    </row>
    <row r="241" spans="1:20" ht="15" customHeight="1" x14ac:dyDescent="0.35">
      <c r="A241" t="s">
        <v>2114</v>
      </c>
      <c r="B241" t="s">
        <v>2114</v>
      </c>
      <c r="C241">
        <v>0</v>
      </c>
      <c r="D241">
        <f t="shared" si="37"/>
        <v>0</v>
      </c>
      <c r="F241" t="s">
        <v>2130</v>
      </c>
      <c r="G241" s="3">
        <v>41</v>
      </c>
      <c r="H241" s="3">
        <v>70</v>
      </c>
      <c r="I241">
        <v>7</v>
      </c>
      <c r="J241" s="3">
        <v>17</v>
      </c>
      <c r="K241" s="3">
        <v>3</v>
      </c>
      <c r="L241" s="3">
        <v>1</v>
      </c>
      <c r="M241" s="3">
        <f t="shared" si="44"/>
        <v>196</v>
      </c>
      <c r="N241" s="3">
        <f t="shared" si="45"/>
        <v>4.7804878048780486</v>
      </c>
      <c r="O241" s="3">
        <f t="shared" si="38"/>
        <v>5.2926829268292686</v>
      </c>
      <c r="P241" s="3" t="s">
        <v>2131</v>
      </c>
      <c r="Q241" s="3">
        <f t="shared" si="46"/>
        <v>4</v>
      </c>
      <c r="R241" s="3">
        <f t="shared" si="47"/>
        <v>0</v>
      </c>
      <c r="S241" s="3">
        <f t="shared" si="43"/>
        <v>-4</v>
      </c>
    </row>
    <row r="242" spans="1:20" ht="15" customHeight="1" x14ac:dyDescent="0.35">
      <c r="A242" t="s">
        <v>1158</v>
      </c>
      <c r="B242" t="s">
        <v>1158</v>
      </c>
      <c r="C242">
        <v>0</v>
      </c>
      <c r="D242">
        <f t="shared" si="37"/>
        <v>0</v>
      </c>
      <c r="F242" s="3" t="s">
        <v>1159</v>
      </c>
      <c r="G242" s="3"/>
      <c r="H242" s="3">
        <v>1</v>
      </c>
      <c r="I242" s="3"/>
      <c r="J242" s="3">
        <v>7</v>
      </c>
      <c r="K242" s="3">
        <v>2</v>
      </c>
      <c r="L242" s="3"/>
      <c r="M242" s="3">
        <f t="shared" si="44"/>
        <v>0</v>
      </c>
      <c r="N242" s="3">
        <f t="shared" si="45"/>
        <v>0</v>
      </c>
      <c r="O242" s="3">
        <f t="shared" si="38"/>
        <v>0</v>
      </c>
      <c r="P242" s="3" t="s">
        <v>1160</v>
      </c>
      <c r="Q242" s="3">
        <f t="shared" si="46"/>
        <v>3</v>
      </c>
      <c r="R242" s="3">
        <f t="shared" si="47"/>
        <v>0</v>
      </c>
      <c r="S242" s="3">
        <f t="shared" si="43"/>
        <v>-3</v>
      </c>
      <c r="T242" s="3"/>
    </row>
    <row r="243" spans="1:20" ht="15" customHeight="1" x14ac:dyDescent="0.35">
      <c r="A243" t="s">
        <v>1161</v>
      </c>
      <c r="B243" t="s">
        <v>1161</v>
      </c>
      <c r="C243">
        <v>0</v>
      </c>
      <c r="D243">
        <f t="shared" si="37"/>
        <v>0</v>
      </c>
      <c r="F243" s="3" t="s">
        <v>1162</v>
      </c>
      <c r="G243" s="3">
        <v>10</v>
      </c>
      <c r="H243" s="3">
        <v>8</v>
      </c>
      <c r="I243" s="3"/>
      <c r="J243" s="3">
        <v>6</v>
      </c>
      <c r="K243" s="3"/>
      <c r="L243" s="3"/>
      <c r="M243" s="3">
        <f t="shared" si="44"/>
        <v>38</v>
      </c>
      <c r="N243" s="3">
        <f t="shared" si="45"/>
        <v>3.8</v>
      </c>
      <c r="O243" s="3">
        <f t="shared" si="38"/>
        <v>3.8</v>
      </c>
      <c r="P243" s="3" t="s">
        <v>1163</v>
      </c>
      <c r="Q243" s="3">
        <f t="shared" si="46"/>
        <v>2</v>
      </c>
      <c r="R243" s="3">
        <f t="shared" si="47"/>
        <v>0</v>
      </c>
      <c r="S243" s="3">
        <f t="shared" si="43"/>
        <v>-2</v>
      </c>
      <c r="T243" s="3"/>
    </row>
    <row r="244" spans="1:20" ht="15" customHeight="1" x14ac:dyDescent="0.35">
      <c r="A244" t="s">
        <v>2117</v>
      </c>
      <c r="B244" t="s">
        <v>2117</v>
      </c>
      <c r="C244">
        <v>0</v>
      </c>
      <c r="D244">
        <f t="shared" si="37"/>
        <v>0</v>
      </c>
      <c r="F244" t="s">
        <v>2136</v>
      </c>
      <c r="G244" s="3">
        <v>19</v>
      </c>
      <c r="H244" s="3">
        <v>38</v>
      </c>
      <c r="J244" s="3">
        <v>1</v>
      </c>
      <c r="M244" s="3">
        <f t="shared" si="44"/>
        <v>112</v>
      </c>
      <c r="N244" s="3">
        <f t="shared" si="45"/>
        <v>5.8947368421052628</v>
      </c>
      <c r="O244" s="3">
        <f t="shared" si="38"/>
        <v>5.8947368421052628</v>
      </c>
      <c r="P244" s="3" t="s">
        <v>2137</v>
      </c>
      <c r="Q244" s="3">
        <f t="shared" si="46"/>
        <v>0</v>
      </c>
      <c r="R244" s="3">
        <f t="shared" si="47"/>
        <v>0</v>
      </c>
      <c r="S244" s="3">
        <f t="shared" si="43"/>
        <v>0</v>
      </c>
    </row>
    <row r="245" spans="1:20" ht="15" customHeight="1" x14ac:dyDescent="0.35">
      <c r="A245" t="s">
        <v>2118</v>
      </c>
      <c r="B245" t="s">
        <v>2118</v>
      </c>
      <c r="C245">
        <v>0</v>
      </c>
      <c r="D245">
        <f t="shared" si="37"/>
        <v>0</v>
      </c>
      <c r="F245" t="s">
        <v>2138</v>
      </c>
      <c r="G245" s="3">
        <v>19</v>
      </c>
      <c r="H245" s="3">
        <v>37</v>
      </c>
      <c r="J245" s="3">
        <v>2</v>
      </c>
      <c r="M245" s="3">
        <f t="shared" si="44"/>
        <v>110</v>
      </c>
      <c r="N245" s="3">
        <f t="shared" si="45"/>
        <v>5.7894736842105265</v>
      </c>
      <c r="O245" s="3">
        <f t="shared" si="38"/>
        <v>5.7894736842105265</v>
      </c>
      <c r="P245" s="3" t="s">
        <v>2139</v>
      </c>
      <c r="Q245" s="3">
        <f t="shared" si="46"/>
        <v>1</v>
      </c>
      <c r="R245" s="3">
        <f t="shared" si="47"/>
        <v>0</v>
      </c>
      <c r="S245" s="3">
        <f t="shared" si="43"/>
        <v>-1</v>
      </c>
    </row>
    <row r="246" spans="1:20" ht="15" customHeight="1" x14ac:dyDescent="0.35">
      <c r="A246" t="s">
        <v>2119</v>
      </c>
      <c r="B246" t="s">
        <v>2119</v>
      </c>
      <c r="C246">
        <v>0</v>
      </c>
      <c r="D246">
        <f t="shared" si="37"/>
        <v>0</v>
      </c>
      <c r="F246" t="s">
        <v>2140</v>
      </c>
      <c r="G246" s="3">
        <v>40</v>
      </c>
      <c r="H246" s="3">
        <v>68</v>
      </c>
      <c r="I246">
        <v>7</v>
      </c>
      <c r="J246" s="3">
        <v>17</v>
      </c>
      <c r="K246" s="3">
        <v>3</v>
      </c>
      <c r="L246" s="3">
        <v>1</v>
      </c>
      <c r="M246" s="3">
        <f t="shared" si="44"/>
        <v>190</v>
      </c>
      <c r="N246" s="3">
        <f t="shared" si="45"/>
        <v>4.75</v>
      </c>
      <c r="O246" s="3">
        <f t="shared" si="38"/>
        <v>5.2750000000000004</v>
      </c>
      <c r="P246" s="3" t="s">
        <v>2141</v>
      </c>
      <c r="Q246" s="3">
        <f t="shared" si="46"/>
        <v>4</v>
      </c>
      <c r="R246" s="3">
        <f t="shared" si="47"/>
        <v>0</v>
      </c>
      <c r="S246" s="3">
        <f t="shared" si="43"/>
        <v>-4</v>
      </c>
    </row>
    <row r="247" spans="1:20" ht="15" customHeight="1" x14ac:dyDescent="0.35">
      <c r="A247" t="s">
        <v>1600</v>
      </c>
      <c r="B247" t="s">
        <v>1600</v>
      </c>
      <c r="C247">
        <v>0</v>
      </c>
      <c r="D247">
        <f t="shared" si="37"/>
        <v>0</v>
      </c>
      <c r="F247" s="3" t="s">
        <v>1601</v>
      </c>
      <c r="G247" s="3">
        <v>24</v>
      </c>
      <c r="H247" s="3">
        <v>36</v>
      </c>
      <c r="I247" s="3">
        <v>7</v>
      </c>
      <c r="J247" s="3">
        <v>17</v>
      </c>
      <c r="K247" s="3">
        <v>3</v>
      </c>
      <c r="L247" s="3">
        <v>1</v>
      </c>
      <c r="M247" s="3">
        <f t="shared" si="44"/>
        <v>94</v>
      </c>
      <c r="N247" s="3">
        <f t="shared" si="45"/>
        <v>3.9166666666666665</v>
      </c>
      <c r="O247" s="3">
        <f t="shared" si="38"/>
        <v>4.791666666666667</v>
      </c>
      <c r="P247" s="3" t="s">
        <v>1602</v>
      </c>
      <c r="Q247" s="3">
        <f t="shared" si="46"/>
        <v>4</v>
      </c>
      <c r="R247" s="3">
        <f t="shared" si="47"/>
        <v>0</v>
      </c>
      <c r="S247" s="3">
        <f t="shared" si="43"/>
        <v>-4</v>
      </c>
      <c r="T247" s="3"/>
    </row>
    <row r="248" spans="1:20" ht="15" customHeight="1" x14ac:dyDescent="0.35">
      <c r="A248" t="s">
        <v>1603</v>
      </c>
      <c r="B248" t="s">
        <v>1603</v>
      </c>
      <c r="C248">
        <v>0</v>
      </c>
      <c r="D248">
        <f t="shared" si="37"/>
        <v>0</v>
      </c>
      <c r="F248" s="3" t="s">
        <v>1604</v>
      </c>
      <c r="G248" s="3">
        <v>3</v>
      </c>
      <c r="H248" s="3">
        <v>5</v>
      </c>
      <c r="I248" s="3"/>
      <c r="J248" s="3">
        <v>2</v>
      </c>
      <c r="K248" s="3"/>
      <c r="L248" s="3"/>
      <c r="M248" s="3">
        <f t="shared" si="44"/>
        <v>14</v>
      </c>
      <c r="N248" s="3">
        <f t="shared" si="45"/>
        <v>4.666666666666667</v>
      </c>
      <c r="O248" s="3">
        <f t="shared" si="38"/>
        <v>4.666666666666667</v>
      </c>
      <c r="P248" s="3" t="s">
        <v>1605</v>
      </c>
      <c r="Q248" s="3">
        <f t="shared" si="46"/>
        <v>1</v>
      </c>
      <c r="R248" s="3">
        <f t="shared" si="47"/>
        <v>0</v>
      </c>
      <c r="S248" s="3">
        <f t="shared" si="43"/>
        <v>-1</v>
      </c>
      <c r="T248" s="3"/>
    </row>
    <row r="249" spans="1:20" ht="15" customHeight="1" x14ac:dyDescent="0.25">
      <c r="A249" t="s">
        <v>1164</v>
      </c>
      <c r="B249" t="s">
        <v>1164</v>
      </c>
      <c r="C249">
        <v>0</v>
      </c>
      <c r="D249">
        <f t="shared" si="37"/>
        <v>0</v>
      </c>
      <c r="F249" s="3" t="s">
        <v>1165</v>
      </c>
      <c r="G249" s="3">
        <v>0</v>
      </c>
      <c r="H249" s="3">
        <v>1</v>
      </c>
      <c r="I249" s="3"/>
      <c r="J249" s="3"/>
      <c r="K249" s="3"/>
      <c r="L249" s="3"/>
      <c r="M249" s="3">
        <f t="shared" si="44"/>
        <v>0</v>
      </c>
      <c r="N249" s="3">
        <f t="shared" si="45"/>
        <v>0</v>
      </c>
      <c r="O249" s="3">
        <f t="shared" si="38"/>
        <v>0</v>
      </c>
      <c r="P249" s="3" t="s">
        <v>1166</v>
      </c>
      <c r="Q249" s="3">
        <f t="shared" si="46"/>
        <v>0</v>
      </c>
      <c r="R249" s="3">
        <f t="shared" si="47"/>
        <v>1</v>
      </c>
      <c r="S249" s="3">
        <v>1</v>
      </c>
      <c r="T249" s="3"/>
    </row>
    <row r="250" spans="1:20" s="40" customFormat="1" ht="15" customHeight="1" x14ac:dyDescent="0.25">
      <c r="A250" s="40" t="s">
        <v>1627</v>
      </c>
      <c r="B250" s="40" t="s">
        <v>1627</v>
      </c>
      <c r="C250" s="40">
        <v>0</v>
      </c>
      <c r="D250" s="40">
        <f t="shared" si="37"/>
        <v>1</v>
      </c>
      <c r="F250" s="40" t="s">
        <v>1165</v>
      </c>
      <c r="H250" s="40">
        <v>1</v>
      </c>
      <c r="M250" s="40">
        <f t="shared" si="44"/>
        <v>0</v>
      </c>
      <c r="N250" s="40">
        <f t="shared" si="45"/>
        <v>0</v>
      </c>
      <c r="O250" s="40">
        <f t="shared" si="38"/>
        <v>0</v>
      </c>
      <c r="P250" s="40" t="s">
        <v>1166</v>
      </c>
      <c r="Q250" s="40">
        <f t="shared" si="46"/>
        <v>0</v>
      </c>
      <c r="R250" s="40">
        <f t="shared" si="47"/>
        <v>1</v>
      </c>
      <c r="S250" s="40">
        <v>1</v>
      </c>
    </row>
    <row r="251" spans="1:20" ht="15" customHeight="1" x14ac:dyDescent="0.25">
      <c r="A251" t="s">
        <v>1167</v>
      </c>
      <c r="B251" t="s">
        <v>1167</v>
      </c>
      <c r="C251">
        <v>0</v>
      </c>
      <c r="D251">
        <f t="shared" si="37"/>
        <v>0</v>
      </c>
      <c r="F251" s="3" t="s">
        <v>1165</v>
      </c>
      <c r="G251" s="3"/>
      <c r="H251" s="3">
        <v>1</v>
      </c>
      <c r="I251" s="3"/>
      <c r="J251" s="3"/>
      <c r="K251" s="3"/>
      <c r="L251" s="3"/>
      <c r="M251" s="3">
        <f t="shared" si="44"/>
        <v>0</v>
      </c>
      <c r="N251" s="3">
        <f t="shared" si="45"/>
        <v>0</v>
      </c>
      <c r="O251" s="3">
        <f t="shared" si="38"/>
        <v>0</v>
      </c>
      <c r="P251" s="3" t="s">
        <v>1166</v>
      </c>
      <c r="Q251" s="3">
        <f t="shared" si="46"/>
        <v>0</v>
      </c>
      <c r="R251" s="3">
        <f t="shared" si="47"/>
        <v>1</v>
      </c>
      <c r="S251" s="3">
        <v>1</v>
      </c>
      <c r="T251" s="3"/>
    </row>
    <row r="252" spans="1:20" ht="15" customHeight="1" x14ac:dyDescent="0.35">
      <c r="A252" t="s">
        <v>1168</v>
      </c>
      <c r="B252" t="s">
        <v>1168</v>
      </c>
      <c r="C252">
        <v>0</v>
      </c>
      <c r="D252">
        <f t="shared" si="37"/>
        <v>0</v>
      </c>
      <c r="F252" s="3" t="s">
        <v>1169</v>
      </c>
      <c r="G252" s="3">
        <v>5</v>
      </c>
      <c r="H252" s="3">
        <v>8</v>
      </c>
      <c r="I252" s="3"/>
      <c r="J252" s="3">
        <v>14</v>
      </c>
      <c r="K252" s="3">
        <v>3</v>
      </c>
      <c r="L252" s="3"/>
      <c r="M252" s="3">
        <f t="shared" si="44"/>
        <v>20</v>
      </c>
      <c r="N252" s="3">
        <f t="shared" si="45"/>
        <v>4</v>
      </c>
      <c r="O252" s="3">
        <f t="shared" si="38"/>
        <v>4</v>
      </c>
      <c r="P252" s="3" t="s">
        <v>1170</v>
      </c>
      <c r="Q252" s="3">
        <f t="shared" si="46"/>
        <v>5</v>
      </c>
      <c r="R252" s="3">
        <f t="shared" si="47"/>
        <v>0</v>
      </c>
      <c r="S252" s="3">
        <f>R252-Q252</f>
        <v>-5</v>
      </c>
      <c r="T252" s="3"/>
    </row>
    <row r="253" spans="1:20" ht="15" customHeight="1" x14ac:dyDescent="0.35">
      <c r="A253" t="s">
        <v>1171</v>
      </c>
      <c r="B253" t="s">
        <v>1171</v>
      </c>
      <c r="C253">
        <v>0</v>
      </c>
      <c r="D253">
        <f t="shared" si="37"/>
        <v>0</v>
      </c>
      <c r="F253" s="3" t="s">
        <v>1172</v>
      </c>
      <c r="G253" s="3">
        <v>3</v>
      </c>
      <c r="H253" s="3">
        <v>3</v>
      </c>
      <c r="I253" s="3"/>
      <c r="J253" s="3">
        <v>3</v>
      </c>
      <c r="K253" s="3"/>
      <c r="L253" s="3"/>
      <c r="M253" s="3">
        <f t="shared" si="44"/>
        <v>10</v>
      </c>
      <c r="N253" s="3">
        <f t="shared" si="45"/>
        <v>3.3333333333333335</v>
      </c>
      <c r="O253" s="3">
        <f t="shared" si="38"/>
        <v>3.3333333333333335</v>
      </c>
      <c r="P253" s="3" t="s">
        <v>1173</v>
      </c>
      <c r="Q253" s="3">
        <f t="shared" si="46"/>
        <v>1</v>
      </c>
      <c r="R253" s="3">
        <f t="shared" si="47"/>
        <v>0</v>
      </c>
      <c r="S253" s="3">
        <f>R253-Q253</f>
        <v>-1</v>
      </c>
      <c r="T253" s="3"/>
    </row>
    <row r="254" spans="1:20" ht="15" customHeight="1" x14ac:dyDescent="0.25">
      <c r="A254" t="s">
        <v>752</v>
      </c>
      <c r="B254" t="s">
        <v>1398</v>
      </c>
      <c r="C254">
        <v>0</v>
      </c>
      <c r="D254">
        <f t="shared" si="37"/>
        <v>0</v>
      </c>
      <c r="F254" s="3" t="s">
        <v>200</v>
      </c>
      <c r="G254" s="3"/>
      <c r="H254" s="3"/>
      <c r="I254" s="3"/>
      <c r="J254" s="3"/>
      <c r="K254" s="3"/>
      <c r="L254" s="3"/>
      <c r="M254" s="3">
        <f t="shared" si="44"/>
        <v>0</v>
      </c>
      <c r="N254" s="3">
        <f t="shared" si="45"/>
        <v>0</v>
      </c>
      <c r="O254" s="3">
        <f t="shared" si="38"/>
        <v>0</v>
      </c>
      <c r="P254" s="3"/>
      <c r="Q254" s="3">
        <f t="shared" si="46"/>
        <v>0</v>
      </c>
      <c r="R254" s="3">
        <f t="shared" si="47"/>
        <v>0</v>
      </c>
      <c r="S254" s="3">
        <f>R254-Q254</f>
        <v>0</v>
      </c>
      <c r="T254" s="3"/>
    </row>
    <row r="255" spans="1:20" ht="15" customHeight="1" x14ac:dyDescent="0.25">
      <c r="A255" t="s">
        <v>2070</v>
      </c>
      <c r="B255" t="s">
        <v>1399</v>
      </c>
      <c r="C255">
        <v>0</v>
      </c>
      <c r="D255">
        <f t="shared" si="37"/>
        <v>0</v>
      </c>
      <c r="F255" s="3" t="s">
        <v>200</v>
      </c>
      <c r="G255" s="3"/>
      <c r="H255" s="3">
        <v>2</v>
      </c>
      <c r="I255" s="3"/>
      <c r="J255" s="3"/>
      <c r="K255" s="3"/>
      <c r="L255" s="3"/>
      <c r="M255" s="3">
        <f t="shared" si="44"/>
        <v>2</v>
      </c>
      <c r="N255" s="3">
        <f t="shared" si="45"/>
        <v>2</v>
      </c>
      <c r="O255" s="3">
        <f t="shared" si="38"/>
        <v>2</v>
      </c>
      <c r="P255" s="3"/>
      <c r="Q255" s="3">
        <f t="shared" si="46"/>
        <v>0</v>
      </c>
      <c r="R255" s="3">
        <f t="shared" si="47"/>
        <v>0</v>
      </c>
      <c r="S255" s="3">
        <f>R255-Q255</f>
        <v>0</v>
      </c>
      <c r="T255" s="3"/>
    </row>
    <row r="256" spans="1:20" ht="15" customHeight="1" x14ac:dyDescent="0.35">
      <c r="A256" t="s">
        <v>1174</v>
      </c>
      <c r="B256" t="s">
        <v>1174</v>
      </c>
      <c r="C256">
        <v>0</v>
      </c>
      <c r="D256">
        <f t="shared" si="37"/>
        <v>0</v>
      </c>
      <c r="F256" s="3" t="s">
        <v>1175</v>
      </c>
      <c r="G256" s="3">
        <v>5</v>
      </c>
      <c r="H256" s="3">
        <v>9</v>
      </c>
      <c r="I256" s="3"/>
      <c r="J256" s="3">
        <v>8</v>
      </c>
      <c r="K256" s="3">
        <v>1</v>
      </c>
      <c r="L256" s="3"/>
      <c r="M256" s="3">
        <f t="shared" si="44"/>
        <v>20</v>
      </c>
      <c r="N256" s="3">
        <f t="shared" si="45"/>
        <v>4</v>
      </c>
      <c r="O256" s="3">
        <f t="shared" si="38"/>
        <v>4</v>
      </c>
      <c r="P256" s="3" t="s">
        <v>1176</v>
      </c>
      <c r="Q256" s="3">
        <f t="shared" si="46"/>
        <v>2</v>
      </c>
      <c r="R256" s="3">
        <f t="shared" si="47"/>
        <v>0</v>
      </c>
      <c r="S256" s="3">
        <f>R256-Q256</f>
        <v>-2</v>
      </c>
      <c r="T256" s="3"/>
    </row>
    <row r="257" spans="1:20" s="3" customFormat="1" ht="15" customHeight="1" x14ac:dyDescent="0.25">
      <c r="A257" s="3" t="s">
        <v>1177</v>
      </c>
      <c r="B257" s="3" t="s">
        <v>1177</v>
      </c>
      <c r="C257" s="3">
        <v>0</v>
      </c>
      <c r="D257" s="3">
        <f t="shared" si="37"/>
        <v>0</v>
      </c>
      <c r="G257" s="3">
        <f>BIOMASS_Geo!N14</f>
        <v>9.43</v>
      </c>
      <c r="H257" s="3">
        <f>BIOMASS_Geo!O14</f>
        <v>10.75</v>
      </c>
      <c r="I257" s="3">
        <f>BIOMASS_Geo!P14</f>
        <v>3.61</v>
      </c>
      <c r="J257" s="3">
        <f>BIOMASS_Geo!Q14</f>
        <v>7.07</v>
      </c>
      <c r="K257" s="3">
        <f>BIOMASS_Geo!R14</f>
        <v>1</v>
      </c>
      <c r="L257" s="3">
        <f>BIOMASS_Geo!S14</f>
        <v>0</v>
      </c>
      <c r="M257" s="3">
        <f>BIOMASS_Geo!T14</f>
        <v>29.5</v>
      </c>
      <c r="N257" s="3">
        <f t="shared" si="45"/>
        <v>3.0222693531283138</v>
      </c>
      <c r="O257" s="3">
        <f t="shared" si="38"/>
        <v>4.1707317073170733</v>
      </c>
      <c r="Q257" s="3">
        <f t="shared" si="46"/>
        <v>0</v>
      </c>
      <c r="R257" s="3">
        <f t="shared" si="47"/>
        <v>0</v>
      </c>
      <c r="S257" s="3">
        <v>0</v>
      </c>
    </row>
    <row r="258" spans="1:20" ht="15" customHeight="1" x14ac:dyDescent="0.35">
      <c r="A258" t="s">
        <v>1606</v>
      </c>
      <c r="B258" t="s">
        <v>1606</v>
      </c>
      <c r="C258">
        <v>0</v>
      </c>
      <c r="D258">
        <f t="shared" ref="D258:D282" si="48">IF(OR(EXACT(A258,"formaldehyde_ext"),EXACT(A258,"formate_ext"),EXACT(A258,"Acetate_ext"),EXACT(A258,"CO2_out"),EXACT(A258,"H2O"),EXACT(A258,"H2O2_ext"),EXACT(A258,"H2S_ext"),EXACT(A258,"kg_biomass_EXT"),EXACT(A258,"Maintenance_leak"),EXACT(A258,"NH3_ext"),EXACT(A258,"O2_out"),EXACT(A258,"Phosphate_out"),EXACT(A258,"proton_external"),EXACT(A258,"urea_ext"),EXACT(A258,"myell_DNA_EXT"),EXACT(A258,"myell_biomass_ext")),1,0)</f>
        <v>0</v>
      </c>
      <c r="F258" s="3" t="s">
        <v>1607</v>
      </c>
      <c r="G258" s="3">
        <v>10</v>
      </c>
      <c r="H258" s="3">
        <v>19</v>
      </c>
      <c r="I258" s="3">
        <v>1</v>
      </c>
      <c r="J258" s="3">
        <v>2</v>
      </c>
      <c r="K258" s="3"/>
      <c r="L258" s="3">
        <v>2</v>
      </c>
      <c r="M258" s="3">
        <f t="shared" ref="M258:M274" si="49">IF(G258=0,N258,N258*G258)</f>
        <v>48</v>
      </c>
      <c r="N258" s="3">
        <f t="shared" si="45"/>
        <v>4.8</v>
      </c>
      <c r="O258" s="3">
        <f t="shared" si="38"/>
        <v>5.0999999999999996</v>
      </c>
      <c r="P258" s="3" t="s">
        <v>1608</v>
      </c>
      <c r="Q258" s="3">
        <f t="shared" si="46"/>
        <v>0</v>
      </c>
      <c r="R258" s="3">
        <f t="shared" si="47"/>
        <v>0</v>
      </c>
      <c r="S258" s="3">
        <f t="shared" ref="S258:S274" si="50">R258-Q258</f>
        <v>0</v>
      </c>
      <c r="T258" s="3"/>
    </row>
    <row r="259" spans="1:20" ht="15" customHeight="1" x14ac:dyDescent="0.35">
      <c r="A259" t="s">
        <v>1178</v>
      </c>
      <c r="B259" t="s">
        <v>1178</v>
      </c>
      <c r="C259">
        <v>0</v>
      </c>
      <c r="D259">
        <f t="shared" si="48"/>
        <v>0</v>
      </c>
      <c r="F259" s="3" t="s">
        <v>1179</v>
      </c>
      <c r="G259" s="3">
        <v>13</v>
      </c>
      <c r="H259" s="3">
        <v>15</v>
      </c>
      <c r="I259" s="3">
        <v>4</v>
      </c>
      <c r="J259" s="3">
        <v>12</v>
      </c>
      <c r="K259" s="3">
        <v>1</v>
      </c>
      <c r="L259" s="3"/>
      <c r="M259" s="3">
        <f t="shared" si="49"/>
        <v>40</v>
      </c>
      <c r="N259" s="3">
        <f t="shared" si="45"/>
        <v>3.0769230769230771</v>
      </c>
      <c r="O259" s="3">
        <f t="shared" ref="O259:O282" si="51">IF(G259=0,(4*G259+H259-2*J259+5*K259-2*L259-S259),(4*G259+H259-2*J259+5*K259-2*L259-S259)/G259)</f>
        <v>4</v>
      </c>
      <c r="P259" s="3" t="s">
        <v>1180</v>
      </c>
      <c r="Q259" s="3">
        <f t="shared" si="46"/>
        <v>4</v>
      </c>
      <c r="R259" s="3">
        <f t="shared" si="47"/>
        <v>0</v>
      </c>
      <c r="S259" s="3">
        <f t="shared" si="50"/>
        <v>-4</v>
      </c>
      <c r="T259" s="3"/>
    </row>
    <row r="260" spans="1:20" ht="15" customHeight="1" x14ac:dyDescent="0.35">
      <c r="A260" t="s">
        <v>1181</v>
      </c>
      <c r="B260" t="s">
        <v>1181</v>
      </c>
      <c r="C260">
        <v>0</v>
      </c>
      <c r="D260">
        <f t="shared" si="48"/>
        <v>0</v>
      </c>
      <c r="F260" s="3" t="s">
        <v>1182</v>
      </c>
      <c r="G260" s="3">
        <v>5</v>
      </c>
      <c r="H260" s="3">
        <v>5</v>
      </c>
      <c r="I260" s="3">
        <v>2</v>
      </c>
      <c r="J260" s="3">
        <v>4</v>
      </c>
      <c r="K260" s="3"/>
      <c r="L260" s="3"/>
      <c r="M260" s="3">
        <f t="shared" si="49"/>
        <v>12</v>
      </c>
      <c r="N260" s="3">
        <f t="shared" si="45"/>
        <v>2.4</v>
      </c>
      <c r="O260" s="3">
        <f t="shared" si="51"/>
        <v>3.6</v>
      </c>
      <c r="P260" s="3" t="s">
        <v>1183</v>
      </c>
      <c r="Q260" s="3">
        <f t="shared" si="46"/>
        <v>1</v>
      </c>
      <c r="R260" s="3">
        <f t="shared" si="47"/>
        <v>0</v>
      </c>
      <c r="S260" s="3">
        <f t="shared" si="50"/>
        <v>-1</v>
      </c>
      <c r="T260" s="3"/>
    </row>
    <row r="261" spans="1:20" ht="15" customHeight="1" x14ac:dyDescent="0.35">
      <c r="A261" t="s">
        <v>1184</v>
      </c>
      <c r="B261" t="s">
        <v>1184</v>
      </c>
      <c r="C261">
        <v>0</v>
      </c>
      <c r="D261">
        <f t="shared" si="48"/>
        <v>0</v>
      </c>
      <c r="F261" s="3" t="s">
        <v>1185</v>
      </c>
      <c r="G261" s="3">
        <v>7</v>
      </c>
      <c r="H261" s="3">
        <v>12</v>
      </c>
      <c r="I261" s="3"/>
      <c r="J261" s="3">
        <v>13</v>
      </c>
      <c r="K261" s="3">
        <v>2</v>
      </c>
      <c r="L261" s="3"/>
      <c r="M261" s="3">
        <f t="shared" si="49"/>
        <v>28</v>
      </c>
      <c r="N261" s="3">
        <f t="shared" si="45"/>
        <v>4</v>
      </c>
      <c r="O261" s="3">
        <f t="shared" si="51"/>
        <v>4</v>
      </c>
      <c r="P261" s="3" t="s">
        <v>1186</v>
      </c>
      <c r="Q261" s="3">
        <f t="shared" si="46"/>
        <v>4</v>
      </c>
      <c r="R261" s="3">
        <f t="shared" si="47"/>
        <v>0</v>
      </c>
      <c r="S261" s="3">
        <f t="shared" si="50"/>
        <v>-4</v>
      </c>
      <c r="T261" s="3"/>
    </row>
    <row r="262" spans="1:20" ht="15" customHeight="1" x14ac:dyDescent="0.35">
      <c r="A262" t="s">
        <v>1187</v>
      </c>
      <c r="B262" t="s">
        <v>1187</v>
      </c>
      <c r="C262">
        <v>0</v>
      </c>
      <c r="D262">
        <f t="shared" si="48"/>
        <v>0</v>
      </c>
      <c r="F262" s="3" t="s">
        <v>1188</v>
      </c>
      <c r="G262" s="3">
        <v>7</v>
      </c>
      <c r="H262" s="3">
        <v>13</v>
      </c>
      <c r="I262" s="3"/>
      <c r="J262" s="3">
        <v>10</v>
      </c>
      <c r="K262" s="3">
        <v>1</v>
      </c>
      <c r="L262" s="3"/>
      <c r="M262" s="3">
        <f t="shared" si="49"/>
        <v>28</v>
      </c>
      <c r="N262" s="3">
        <f t="shared" si="45"/>
        <v>4</v>
      </c>
      <c r="O262" s="3">
        <f t="shared" si="51"/>
        <v>4</v>
      </c>
      <c r="P262" s="3" t="s">
        <v>1189</v>
      </c>
      <c r="Q262" s="3">
        <f t="shared" si="46"/>
        <v>2</v>
      </c>
      <c r="R262" s="3">
        <f t="shared" si="47"/>
        <v>0</v>
      </c>
      <c r="S262" s="3">
        <f t="shared" si="50"/>
        <v>-2</v>
      </c>
      <c r="T262" s="3"/>
    </row>
    <row r="263" spans="1:20" s="26" customFormat="1" ht="15" customHeight="1" x14ac:dyDescent="0.35">
      <c r="A263" t="s">
        <v>1190</v>
      </c>
      <c r="B263" t="s">
        <v>1190</v>
      </c>
      <c r="C263">
        <v>0</v>
      </c>
      <c r="D263">
        <f t="shared" si="48"/>
        <v>0</v>
      </c>
      <c r="E263"/>
      <c r="F263" s="3" t="s">
        <v>1191</v>
      </c>
      <c r="G263" s="3">
        <v>7</v>
      </c>
      <c r="H263" s="3">
        <v>9</v>
      </c>
      <c r="I263" s="3"/>
      <c r="J263" s="3">
        <v>5</v>
      </c>
      <c r="K263" s="3"/>
      <c r="L263" s="3"/>
      <c r="M263" s="3">
        <f t="shared" si="49"/>
        <v>28</v>
      </c>
      <c r="N263" s="3">
        <f t="shared" si="45"/>
        <v>4</v>
      </c>
      <c r="O263" s="3">
        <f t="shared" si="51"/>
        <v>4</v>
      </c>
      <c r="P263" s="3" t="s">
        <v>1192</v>
      </c>
      <c r="Q263" s="3">
        <f t="shared" si="46"/>
        <v>1</v>
      </c>
      <c r="R263" s="3">
        <f t="shared" si="47"/>
        <v>0</v>
      </c>
      <c r="S263" s="3">
        <f t="shared" si="50"/>
        <v>-1</v>
      </c>
      <c r="T263" s="3"/>
    </row>
    <row r="264" spans="1:20" s="26" customFormat="1" ht="15" customHeight="1" x14ac:dyDescent="0.35">
      <c r="A264" t="s">
        <v>1193</v>
      </c>
      <c r="B264" t="s">
        <v>1193</v>
      </c>
      <c r="C264">
        <v>0</v>
      </c>
      <c r="D264">
        <f t="shared" si="48"/>
        <v>0</v>
      </c>
      <c r="E264"/>
      <c r="F264" s="3" t="s">
        <v>1194</v>
      </c>
      <c r="G264" s="3">
        <v>3</v>
      </c>
      <c r="H264" s="3">
        <v>7</v>
      </c>
      <c r="I264" s="3"/>
      <c r="J264" s="3">
        <v>6</v>
      </c>
      <c r="K264" s="3">
        <v>1</v>
      </c>
      <c r="L264" s="3"/>
      <c r="M264" s="3">
        <f t="shared" si="49"/>
        <v>14</v>
      </c>
      <c r="N264" s="3">
        <f t="shared" si="45"/>
        <v>4.666666666666667</v>
      </c>
      <c r="O264" s="3">
        <f t="shared" si="51"/>
        <v>4.666666666666667</v>
      </c>
      <c r="P264" s="3" t="s">
        <v>1195</v>
      </c>
      <c r="Q264" s="3">
        <f t="shared" si="46"/>
        <v>2</v>
      </c>
      <c r="R264" s="3">
        <f t="shared" si="47"/>
        <v>0</v>
      </c>
      <c r="S264" s="3">
        <f t="shared" si="50"/>
        <v>-2</v>
      </c>
      <c r="T264" s="3"/>
    </row>
    <row r="265" spans="1:20" s="26" customFormat="1" ht="15" customHeight="1" x14ac:dyDescent="0.35">
      <c r="A265" t="s">
        <v>1196</v>
      </c>
      <c r="B265" t="s">
        <v>1196</v>
      </c>
      <c r="C265">
        <v>0</v>
      </c>
      <c r="D265">
        <f t="shared" si="48"/>
        <v>0</v>
      </c>
      <c r="E265"/>
      <c r="F265" s="3" t="s">
        <v>1197</v>
      </c>
      <c r="G265" s="3">
        <v>4</v>
      </c>
      <c r="H265" s="3">
        <v>4</v>
      </c>
      <c r="I265" s="3"/>
      <c r="J265" s="3">
        <v>4</v>
      </c>
      <c r="K265" s="3"/>
      <c r="L265" s="3"/>
      <c r="M265" s="3">
        <f t="shared" si="49"/>
        <v>14</v>
      </c>
      <c r="N265" s="3">
        <f t="shared" si="45"/>
        <v>3.5</v>
      </c>
      <c r="O265" s="3">
        <f t="shared" si="51"/>
        <v>3.5</v>
      </c>
      <c r="P265" s="3" t="s">
        <v>1198</v>
      </c>
      <c r="Q265" s="3">
        <f t="shared" si="46"/>
        <v>2</v>
      </c>
      <c r="R265" s="3">
        <f t="shared" si="47"/>
        <v>0</v>
      </c>
      <c r="S265" s="3">
        <f t="shared" si="50"/>
        <v>-2</v>
      </c>
      <c r="T265" s="3"/>
    </row>
    <row r="266" spans="1:20" s="26" customFormat="1" ht="15" customHeight="1" x14ac:dyDescent="0.35">
      <c r="A266" t="s">
        <v>1199</v>
      </c>
      <c r="B266" t="s">
        <v>1199</v>
      </c>
      <c r="C266">
        <v>0</v>
      </c>
      <c r="D266">
        <f t="shared" si="48"/>
        <v>0</v>
      </c>
      <c r="E266"/>
      <c r="F266" s="3" t="s">
        <v>1200</v>
      </c>
      <c r="G266" s="3">
        <v>25</v>
      </c>
      <c r="H266" s="3">
        <v>35</v>
      </c>
      <c r="I266" s="3">
        <v>7</v>
      </c>
      <c r="J266" s="3">
        <v>19</v>
      </c>
      <c r="K266" s="3">
        <v>3</v>
      </c>
      <c r="L266" s="3">
        <v>1</v>
      </c>
      <c r="M266" s="3">
        <f t="shared" si="49"/>
        <v>94</v>
      </c>
      <c r="N266" s="3">
        <f t="shared" si="45"/>
        <v>3.76</v>
      </c>
      <c r="O266" s="3">
        <f t="shared" si="51"/>
        <v>4.5999999999999996</v>
      </c>
      <c r="P266" s="3" t="s">
        <v>1201</v>
      </c>
      <c r="Q266" s="3">
        <f t="shared" si="46"/>
        <v>5</v>
      </c>
      <c r="R266" s="3">
        <f t="shared" si="47"/>
        <v>0</v>
      </c>
      <c r="S266" s="3">
        <f t="shared" si="50"/>
        <v>-5</v>
      </c>
      <c r="T266" s="3"/>
    </row>
    <row r="267" spans="1:20" ht="15" customHeight="1" x14ac:dyDescent="0.35">
      <c r="A267" t="s">
        <v>2110</v>
      </c>
      <c r="B267" t="s">
        <v>2110</v>
      </c>
      <c r="C267">
        <v>0</v>
      </c>
      <c r="D267">
        <f t="shared" si="48"/>
        <v>0</v>
      </c>
      <c r="F267" t="s">
        <v>2123</v>
      </c>
      <c r="G267" s="3">
        <v>9</v>
      </c>
      <c r="H267" s="3">
        <v>15</v>
      </c>
      <c r="I267">
        <v>5</v>
      </c>
      <c r="J267" s="3">
        <v>3</v>
      </c>
      <c r="M267" s="3">
        <f t="shared" si="49"/>
        <v>30</v>
      </c>
      <c r="N267" s="3">
        <f t="shared" ref="N267:N274" si="52">IF(G267=0,(4*G267+H267-2*J267-3*I267+5*K267-2*L267-S267),(4*G267+H267-2*J267-3*I267+5*K267-2*L267-S267)/G267)</f>
        <v>3.3333333333333335</v>
      </c>
      <c r="O267" s="3">
        <f t="shared" si="51"/>
        <v>5</v>
      </c>
      <c r="P267" s="3" t="s">
        <v>2124</v>
      </c>
      <c r="Q267" s="3">
        <f t="shared" ref="Q267:Q274" si="53">SUM(LEN($P267)-LEN(SUBSTITUTE($P267,"-","")))/LEN("-")</f>
        <v>0</v>
      </c>
      <c r="R267" s="3">
        <f t="shared" ref="R267:R274" si="54">SUM(LEN($P267)-LEN(SUBSTITUTE($P267,"+","")))/LEN("+")</f>
        <v>0</v>
      </c>
      <c r="S267" s="3">
        <f t="shared" si="50"/>
        <v>0</v>
      </c>
    </row>
    <row r="268" spans="1:20" ht="15" customHeight="1" x14ac:dyDescent="0.35">
      <c r="A268" t="s">
        <v>1609</v>
      </c>
      <c r="B268" t="s">
        <v>1609</v>
      </c>
      <c r="C268">
        <v>0</v>
      </c>
      <c r="D268">
        <f t="shared" si="48"/>
        <v>0</v>
      </c>
      <c r="F268" s="3" t="s">
        <v>1610</v>
      </c>
      <c r="G268" s="3">
        <v>7</v>
      </c>
      <c r="H268" s="3">
        <v>7</v>
      </c>
      <c r="I268" s="3">
        <v>1</v>
      </c>
      <c r="J268" s="3">
        <v>4</v>
      </c>
      <c r="K268" s="3"/>
      <c r="L268" s="3"/>
      <c r="M268" s="3">
        <f t="shared" si="49"/>
        <v>26</v>
      </c>
      <c r="N268" s="3">
        <f t="shared" si="52"/>
        <v>3.7142857142857144</v>
      </c>
      <c r="O268" s="3">
        <f t="shared" si="51"/>
        <v>4.1428571428571432</v>
      </c>
      <c r="P268" s="3" t="s">
        <v>1611</v>
      </c>
      <c r="Q268" s="3">
        <f t="shared" si="53"/>
        <v>2</v>
      </c>
      <c r="R268" s="3">
        <f t="shared" si="54"/>
        <v>0</v>
      </c>
      <c r="S268" s="3">
        <f t="shared" si="50"/>
        <v>-2</v>
      </c>
      <c r="T268" s="3"/>
    </row>
    <row r="269" spans="1:20" ht="15" customHeight="1" x14ac:dyDescent="0.35">
      <c r="A269" t="s">
        <v>1202</v>
      </c>
      <c r="B269" t="s">
        <v>1202</v>
      </c>
      <c r="C269">
        <v>0</v>
      </c>
      <c r="D269">
        <f t="shared" si="48"/>
        <v>0</v>
      </c>
      <c r="F269" s="3" t="s">
        <v>1203</v>
      </c>
      <c r="G269" s="3">
        <v>19</v>
      </c>
      <c r="H269" s="3">
        <v>21</v>
      </c>
      <c r="I269" s="3">
        <v>7</v>
      </c>
      <c r="J269" s="3">
        <v>6</v>
      </c>
      <c r="K269" s="3"/>
      <c r="L269" s="3"/>
      <c r="M269" s="3">
        <f t="shared" si="49"/>
        <v>66</v>
      </c>
      <c r="N269" s="3">
        <f t="shared" si="52"/>
        <v>3.4736842105263159</v>
      </c>
      <c r="O269" s="3">
        <f t="shared" si="51"/>
        <v>4.5789473684210522</v>
      </c>
      <c r="P269" s="3" t="s">
        <v>1204</v>
      </c>
      <c r="Q269" s="3">
        <f t="shared" si="53"/>
        <v>2</v>
      </c>
      <c r="R269" s="3">
        <f t="shared" si="54"/>
        <v>0</v>
      </c>
      <c r="S269" s="3">
        <f t="shared" si="50"/>
        <v>-2</v>
      </c>
      <c r="T269" s="3"/>
    </row>
    <row r="270" spans="1:20" ht="15" customHeight="1" x14ac:dyDescent="0.25">
      <c r="A270" t="s">
        <v>1205</v>
      </c>
      <c r="B270" t="s">
        <v>1205</v>
      </c>
      <c r="C270">
        <v>0</v>
      </c>
      <c r="D270">
        <f t="shared" si="48"/>
        <v>0</v>
      </c>
      <c r="F270" s="3"/>
      <c r="G270" s="3"/>
      <c r="H270" s="3"/>
      <c r="I270" s="3"/>
      <c r="J270" s="3"/>
      <c r="K270" s="3"/>
      <c r="L270" s="3"/>
      <c r="M270" s="3">
        <f t="shared" si="49"/>
        <v>0</v>
      </c>
      <c r="N270" s="3">
        <f t="shared" si="52"/>
        <v>0</v>
      </c>
      <c r="O270" s="3">
        <f t="shared" si="51"/>
        <v>0</v>
      </c>
      <c r="P270" s="3" t="s">
        <v>1206</v>
      </c>
      <c r="Q270" s="3">
        <f t="shared" si="53"/>
        <v>0</v>
      </c>
      <c r="R270" s="3">
        <f t="shared" si="54"/>
        <v>0</v>
      </c>
      <c r="S270" s="3">
        <f t="shared" si="50"/>
        <v>0</v>
      </c>
      <c r="T270" s="3"/>
    </row>
    <row r="271" spans="1:20" s="3" customFormat="1" ht="15" customHeight="1" x14ac:dyDescent="0.25">
      <c r="A271" t="s">
        <v>1207</v>
      </c>
      <c r="B271" t="s">
        <v>1207</v>
      </c>
      <c r="C271">
        <v>0</v>
      </c>
      <c r="D271">
        <f t="shared" si="48"/>
        <v>0</v>
      </c>
      <c r="E271"/>
      <c r="H271" s="3">
        <v>2</v>
      </c>
      <c r="M271" s="3">
        <f t="shared" si="49"/>
        <v>2</v>
      </c>
      <c r="N271" s="3">
        <f t="shared" si="52"/>
        <v>2</v>
      </c>
      <c r="O271" s="3">
        <f t="shared" si="51"/>
        <v>2</v>
      </c>
      <c r="P271" s="3" t="s">
        <v>1208</v>
      </c>
      <c r="Q271" s="3">
        <f t="shared" si="53"/>
        <v>0</v>
      </c>
      <c r="R271" s="3">
        <f t="shared" si="54"/>
        <v>0</v>
      </c>
      <c r="S271" s="3">
        <f t="shared" si="50"/>
        <v>0</v>
      </c>
    </row>
    <row r="272" spans="1:20" s="3" customFormat="1" ht="15" customHeight="1" x14ac:dyDescent="0.35">
      <c r="A272" t="s">
        <v>1209</v>
      </c>
      <c r="B272" t="s">
        <v>1209</v>
      </c>
      <c r="C272">
        <v>0</v>
      </c>
      <c r="D272">
        <f t="shared" si="48"/>
        <v>0</v>
      </c>
      <c r="E272"/>
      <c r="F272" s="3" t="s">
        <v>1210</v>
      </c>
      <c r="G272" s="3">
        <v>12</v>
      </c>
      <c r="H272" s="3">
        <v>16</v>
      </c>
      <c r="I272" s="3">
        <v>4</v>
      </c>
      <c r="J272" s="3">
        <v>7</v>
      </c>
      <c r="K272" s="3">
        <v>2</v>
      </c>
      <c r="L272" s="3">
        <v>1</v>
      </c>
      <c r="M272" s="3">
        <f t="shared" si="49"/>
        <v>48</v>
      </c>
      <c r="N272" s="3">
        <f t="shared" si="52"/>
        <v>4</v>
      </c>
      <c r="O272" s="3">
        <f t="shared" si="51"/>
        <v>5</v>
      </c>
      <c r="P272" s="3" t="s">
        <v>1211</v>
      </c>
      <c r="Q272" s="3">
        <f t="shared" si="53"/>
        <v>3</v>
      </c>
      <c r="R272" s="3">
        <f t="shared" si="54"/>
        <v>1</v>
      </c>
      <c r="S272" s="3">
        <f t="shared" si="50"/>
        <v>-2</v>
      </c>
    </row>
    <row r="273" spans="1:20" ht="15" customHeight="1" x14ac:dyDescent="0.35">
      <c r="A273" t="s">
        <v>1212</v>
      </c>
      <c r="B273" t="s">
        <v>1212</v>
      </c>
      <c r="C273">
        <v>0</v>
      </c>
      <c r="D273">
        <f t="shared" si="48"/>
        <v>0</v>
      </c>
      <c r="F273" s="3" t="s">
        <v>1213</v>
      </c>
      <c r="G273" s="3">
        <v>9</v>
      </c>
      <c r="H273" s="3">
        <v>11</v>
      </c>
      <c r="I273" s="3">
        <v>2</v>
      </c>
      <c r="J273" s="3">
        <v>12</v>
      </c>
      <c r="K273" s="3">
        <v>2</v>
      </c>
      <c r="L273" s="3"/>
      <c r="M273" s="3">
        <f t="shared" si="49"/>
        <v>30</v>
      </c>
      <c r="N273" s="3">
        <f t="shared" si="52"/>
        <v>3.3333333333333335</v>
      </c>
      <c r="O273" s="3">
        <f t="shared" si="51"/>
        <v>4</v>
      </c>
      <c r="P273" s="3" t="s">
        <v>1214</v>
      </c>
      <c r="Q273" s="3">
        <f t="shared" si="53"/>
        <v>3</v>
      </c>
      <c r="R273" s="3">
        <f t="shared" si="54"/>
        <v>0</v>
      </c>
      <c r="S273" s="3">
        <f t="shared" si="50"/>
        <v>-3</v>
      </c>
      <c r="T273" s="3"/>
    </row>
    <row r="274" spans="1:20" ht="15" customHeight="1" x14ac:dyDescent="0.35">
      <c r="A274" t="s">
        <v>1215</v>
      </c>
      <c r="B274" t="s">
        <v>1215</v>
      </c>
      <c r="C274">
        <v>0</v>
      </c>
      <c r="D274">
        <f t="shared" si="48"/>
        <v>0</v>
      </c>
      <c r="F274" s="3" t="s">
        <v>1216</v>
      </c>
      <c r="G274" s="3">
        <v>9</v>
      </c>
      <c r="H274" s="3">
        <v>11</v>
      </c>
      <c r="I274" s="3">
        <v>2</v>
      </c>
      <c r="J274" s="3">
        <v>9</v>
      </c>
      <c r="K274" s="3">
        <v>1</v>
      </c>
      <c r="L274" s="3"/>
      <c r="M274" s="3">
        <f t="shared" si="49"/>
        <v>30</v>
      </c>
      <c r="N274" s="3">
        <f t="shared" si="52"/>
        <v>3.3333333333333335</v>
      </c>
      <c r="O274" s="3">
        <f t="shared" si="51"/>
        <v>4</v>
      </c>
      <c r="P274" s="3" t="s">
        <v>1217</v>
      </c>
      <c r="Q274" s="3">
        <f t="shared" si="53"/>
        <v>2</v>
      </c>
      <c r="R274" s="3">
        <f t="shared" si="54"/>
        <v>0</v>
      </c>
      <c r="S274" s="3">
        <f t="shared" si="50"/>
        <v>-2</v>
      </c>
      <c r="T274" s="3"/>
    </row>
    <row r="275" spans="1:20" ht="15" customHeight="1" x14ac:dyDescent="0.25">
      <c r="A275" t="s">
        <v>2009</v>
      </c>
      <c r="B275" t="s">
        <v>2009</v>
      </c>
      <c r="C275">
        <v>0</v>
      </c>
      <c r="D275">
        <f t="shared" si="48"/>
        <v>0</v>
      </c>
      <c r="F275" s="3" t="s">
        <v>2008</v>
      </c>
      <c r="G275" s="3">
        <v>9</v>
      </c>
      <c r="H275" s="3">
        <v>11</v>
      </c>
      <c r="I275" s="3">
        <v>2</v>
      </c>
      <c r="J275" s="3">
        <v>9</v>
      </c>
      <c r="K275" s="3">
        <v>1</v>
      </c>
      <c r="L275" s="3"/>
      <c r="M275" s="3">
        <v>30</v>
      </c>
      <c r="N275" s="3">
        <v>3.3333333333333335</v>
      </c>
      <c r="O275" s="3">
        <f t="shared" si="51"/>
        <v>4</v>
      </c>
      <c r="P275" s="3" t="s">
        <v>1217</v>
      </c>
      <c r="Q275" s="3">
        <v>2</v>
      </c>
      <c r="R275" s="3">
        <v>0</v>
      </c>
      <c r="S275" s="3">
        <v>-2</v>
      </c>
      <c r="T275" s="3"/>
    </row>
    <row r="276" spans="1:20" s="40" customFormat="1" ht="15" customHeight="1" x14ac:dyDescent="0.35">
      <c r="A276" s="40" t="s">
        <v>1943</v>
      </c>
      <c r="B276" s="40" t="s">
        <v>1943</v>
      </c>
      <c r="C276" s="40">
        <v>0</v>
      </c>
      <c r="D276" s="40">
        <f t="shared" si="48"/>
        <v>0</v>
      </c>
      <c r="F276" s="40" t="s">
        <v>1216</v>
      </c>
      <c r="G276" s="40">
        <v>9</v>
      </c>
      <c r="H276" s="40">
        <v>11</v>
      </c>
      <c r="I276" s="40">
        <v>2</v>
      </c>
      <c r="J276" s="40">
        <v>9</v>
      </c>
      <c r="K276" s="40">
        <v>1</v>
      </c>
      <c r="M276" s="40">
        <f t="shared" ref="M276:M282" si="55">IF(G276=0,N276,N276*G276)</f>
        <v>30</v>
      </c>
      <c r="N276" s="40">
        <f t="shared" ref="N276:N282" si="56">IF(G276=0,(4*G276+H276-2*J276-3*I276+5*K276-2*L276-S276),(4*G276+H276-2*J276-3*I276+5*K276-2*L276-S276)/G276)</f>
        <v>3.3333333333333335</v>
      </c>
      <c r="O276" s="40">
        <f t="shared" si="51"/>
        <v>4</v>
      </c>
      <c r="P276" s="40" t="s">
        <v>1217</v>
      </c>
      <c r="Q276" s="40">
        <f t="shared" ref="Q276:Q282" si="57">SUM(LEN($P276)-LEN(SUBSTITUTE($P276,"-","")))/LEN("-")</f>
        <v>2</v>
      </c>
      <c r="R276" s="40">
        <f t="shared" ref="R276:R282" si="58">SUM(LEN($P276)-LEN(SUBSTITUTE($P276,"+","")))/LEN("+")</f>
        <v>0</v>
      </c>
      <c r="S276" s="40">
        <f t="shared" ref="S276:S282" si="59">R276-Q276</f>
        <v>-2</v>
      </c>
    </row>
    <row r="277" spans="1:20" ht="15" customHeight="1" x14ac:dyDescent="0.35">
      <c r="A277" t="s">
        <v>1612</v>
      </c>
      <c r="B277" t="s">
        <v>1612</v>
      </c>
      <c r="C277">
        <v>0</v>
      </c>
      <c r="D277">
        <f t="shared" si="48"/>
        <v>0</v>
      </c>
      <c r="F277" s="3" t="s">
        <v>1613</v>
      </c>
      <c r="G277" s="3">
        <v>1</v>
      </c>
      <c r="H277" s="3">
        <v>4</v>
      </c>
      <c r="I277" s="3">
        <v>2</v>
      </c>
      <c r="J277" s="3">
        <v>1</v>
      </c>
      <c r="K277" s="3"/>
      <c r="L277" s="3"/>
      <c r="M277" s="3">
        <f t="shared" si="55"/>
        <v>0</v>
      </c>
      <c r="N277" s="3">
        <f t="shared" si="56"/>
        <v>0</v>
      </c>
      <c r="O277" s="3">
        <f t="shared" si="51"/>
        <v>6</v>
      </c>
      <c r="P277" s="3" t="s">
        <v>1614</v>
      </c>
      <c r="Q277" s="3">
        <f t="shared" si="57"/>
        <v>0</v>
      </c>
      <c r="R277" s="3">
        <f t="shared" si="58"/>
        <v>0</v>
      </c>
      <c r="S277" s="3">
        <f t="shared" si="59"/>
        <v>0</v>
      </c>
      <c r="T277" s="3"/>
    </row>
    <row r="278" spans="1:20" s="40" customFormat="1" ht="15" customHeight="1" x14ac:dyDescent="0.35">
      <c r="A278" s="40" t="s">
        <v>1615</v>
      </c>
      <c r="B278" s="40" t="s">
        <v>1615</v>
      </c>
      <c r="C278" s="40">
        <v>0</v>
      </c>
      <c r="D278" s="40">
        <f t="shared" si="48"/>
        <v>1</v>
      </c>
      <c r="F278" s="40" t="s">
        <v>1613</v>
      </c>
      <c r="G278" s="40">
        <v>1</v>
      </c>
      <c r="H278" s="40">
        <v>4</v>
      </c>
      <c r="I278" s="40">
        <v>2</v>
      </c>
      <c r="J278" s="40">
        <v>1</v>
      </c>
      <c r="M278" s="40">
        <f t="shared" si="55"/>
        <v>0</v>
      </c>
      <c r="N278" s="40">
        <f t="shared" si="56"/>
        <v>0</v>
      </c>
      <c r="O278" s="40">
        <f t="shared" si="51"/>
        <v>6</v>
      </c>
      <c r="P278" s="40" t="s">
        <v>1614</v>
      </c>
      <c r="Q278" s="40">
        <f t="shared" si="57"/>
        <v>0</v>
      </c>
      <c r="R278" s="40">
        <f t="shared" si="58"/>
        <v>0</v>
      </c>
      <c r="S278" s="40">
        <f t="shared" si="59"/>
        <v>0</v>
      </c>
    </row>
    <row r="279" spans="1:20" ht="15" customHeight="1" x14ac:dyDescent="0.35">
      <c r="A279" t="s">
        <v>2307</v>
      </c>
      <c r="B279" t="s">
        <v>2307</v>
      </c>
      <c r="C279">
        <v>0</v>
      </c>
      <c r="D279">
        <f t="shared" si="48"/>
        <v>0</v>
      </c>
      <c r="F279" t="s">
        <v>2332</v>
      </c>
      <c r="G279" s="3">
        <v>9</v>
      </c>
      <c r="H279" s="3">
        <v>12</v>
      </c>
      <c r="I279" s="3">
        <v>2</v>
      </c>
      <c r="J279" s="3">
        <v>6</v>
      </c>
      <c r="M279" s="3">
        <f t="shared" si="55"/>
        <v>30</v>
      </c>
      <c r="N279" s="3">
        <f t="shared" si="56"/>
        <v>3.3333333333333335</v>
      </c>
      <c r="O279" s="3">
        <f t="shared" si="51"/>
        <v>4</v>
      </c>
      <c r="P279" t="s">
        <v>2333</v>
      </c>
      <c r="Q279" s="3">
        <f t="shared" si="57"/>
        <v>0</v>
      </c>
      <c r="R279" s="3">
        <f t="shared" si="58"/>
        <v>0</v>
      </c>
      <c r="S279" s="3">
        <f t="shared" si="59"/>
        <v>0</v>
      </c>
    </row>
    <row r="280" spans="1:20" ht="15" customHeight="1" x14ac:dyDescent="0.35">
      <c r="A280" t="s">
        <v>1218</v>
      </c>
      <c r="B280" t="s">
        <v>1218</v>
      </c>
      <c r="C280">
        <v>0</v>
      </c>
      <c r="D280">
        <f t="shared" si="48"/>
        <v>0</v>
      </c>
      <c r="F280" s="3" t="s">
        <v>1219</v>
      </c>
      <c r="G280" s="3">
        <v>9</v>
      </c>
      <c r="H280" s="3">
        <v>11</v>
      </c>
      <c r="I280" s="3">
        <v>2</v>
      </c>
      <c r="J280" s="3">
        <v>15</v>
      </c>
      <c r="K280" s="3">
        <v>3</v>
      </c>
      <c r="L280" s="3"/>
      <c r="M280" s="3">
        <f t="shared" si="55"/>
        <v>30</v>
      </c>
      <c r="N280" s="3">
        <f t="shared" si="56"/>
        <v>3.3333333333333335</v>
      </c>
      <c r="O280" s="3">
        <f t="shared" si="51"/>
        <v>4</v>
      </c>
      <c r="P280" s="3" t="s">
        <v>1220</v>
      </c>
      <c r="Q280" s="3">
        <f t="shared" si="57"/>
        <v>4</v>
      </c>
      <c r="R280" s="3">
        <f t="shared" si="58"/>
        <v>0</v>
      </c>
      <c r="S280" s="3">
        <f t="shared" si="59"/>
        <v>-4</v>
      </c>
      <c r="T280" s="3"/>
    </row>
    <row r="281" spans="1:20" ht="15" customHeight="1" x14ac:dyDescent="0.35">
      <c r="A281" t="s">
        <v>2329</v>
      </c>
      <c r="B281" t="s">
        <v>2329</v>
      </c>
      <c r="C281">
        <v>0</v>
      </c>
      <c r="D281">
        <f t="shared" si="48"/>
        <v>0</v>
      </c>
      <c r="F281" t="s">
        <v>2334</v>
      </c>
      <c r="G281" s="3">
        <v>5</v>
      </c>
      <c r="H281" s="3">
        <v>4</v>
      </c>
      <c r="I281" s="3">
        <v>4</v>
      </c>
      <c r="J281" s="3">
        <v>2</v>
      </c>
      <c r="M281" s="3">
        <f t="shared" si="55"/>
        <v>8</v>
      </c>
      <c r="N281" s="3">
        <f t="shared" si="56"/>
        <v>1.6</v>
      </c>
      <c r="O281" s="3">
        <f t="shared" si="51"/>
        <v>4</v>
      </c>
      <c r="P281" t="s">
        <v>2335</v>
      </c>
      <c r="Q281" s="3">
        <f t="shared" si="57"/>
        <v>0</v>
      </c>
      <c r="R281" s="3">
        <f t="shared" si="58"/>
        <v>0</v>
      </c>
      <c r="S281" s="3">
        <f t="shared" si="59"/>
        <v>0</v>
      </c>
    </row>
    <row r="282" spans="1:20" ht="15" customHeight="1" x14ac:dyDescent="0.35">
      <c r="A282" t="s">
        <v>1221</v>
      </c>
      <c r="B282" t="s">
        <v>1221</v>
      </c>
      <c r="C282">
        <v>0</v>
      </c>
      <c r="D282">
        <f t="shared" si="48"/>
        <v>0</v>
      </c>
      <c r="F282" s="3" t="s">
        <v>1222</v>
      </c>
      <c r="G282" s="3">
        <v>10</v>
      </c>
      <c r="H282" s="3">
        <v>11</v>
      </c>
      <c r="I282" s="3">
        <v>4</v>
      </c>
      <c r="J282" s="3">
        <v>9</v>
      </c>
      <c r="K282" s="3">
        <v>1</v>
      </c>
      <c r="L282" s="3"/>
      <c r="M282" s="3">
        <f t="shared" si="55"/>
        <v>28</v>
      </c>
      <c r="N282" s="3">
        <f t="shared" si="56"/>
        <v>2.8</v>
      </c>
      <c r="O282" s="3">
        <f t="shared" si="51"/>
        <v>4</v>
      </c>
      <c r="P282" s="3" t="s">
        <v>1223</v>
      </c>
      <c r="Q282" s="3">
        <f t="shared" si="57"/>
        <v>2</v>
      </c>
      <c r="R282" s="3">
        <f t="shared" si="58"/>
        <v>0</v>
      </c>
      <c r="S282" s="3">
        <f t="shared" si="59"/>
        <v>-2</v>
      </c>
      <c r="T282" s="3"/>
    </row>
  </sheetData>
  <sortState ref="A2:S282">
    <sortCondition ref="A2:A282"/>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93"/>
  <sheetViews>
    <sheetView zoomScale="60" zoomScaleNormal="60" zoomScalePageLayoutView="125" workbookViewId="0">
      <pane ySplit="1" topLeftCell="A17" activePane="bottomLeft" state="frozen"/>
      <selection pane="bottomLeft" activeCell="Q57" sqref="Q57"/>
    </sheetView>
  </sheetViews>
  <sheetFormatPr defaultColWidth="12.5703125" defaultRowHeight="15.75" x14ac:dyDescent="0.25"/>
  <cols>
    <col min="1" max="1" width="33.140625" style="13" customWidth="1"/>
    <col min="2" max="2" width="20.140625" style="13" customWidth="1"/>
    <col min="3" max="3" width="14.42578125" style="13" bestFit="1" customWidth="1"/>
    <col min="4" max="10" width="6.42578125" style="13" customWidth="1"/>
    <col min="11" max="11" width="13.85546875" style="13" customWidth="1"/>
    <col min="12" max="12" width="11.5703125" style="13" customWidth="1"/>
    <col min="13" max="13" width="12.85546875" style="13" customWidth="1"/>
    <col min="14" max="14" width="12.42578125" style="13" customWidth="1"/>
    <col min="15" max="20" width="9.5703125" style="13" customWidth="1"/>
    <col min="21" max="21" width="12.5703125" style="13"/>
    <col min="22" max="22" width="6.5703125" style="13" customWidth="1"/>
    <col min="23" max="16384" width="12.5703125" style="13"/>
  </cols>
  <sheetData>
    <row r="1" spans="1:24" s="22" customFormat="1" x14ac:dyDescent="0.25">
      <c r="A1" s="22" t="s">
        <v>1724</v>
      </c>
      <c r="B1" s="22" t="s">
        <v>1723</v>
      </c>
      <c r="C1" s="22" t="s">
        <v>1248</v>
      </c>
      <c r="D1" s="22" t="s">
        <v>749</v>
      </c>
      <c r="E1" s="22" t="s">
        <v>756</v>
      </c>
      <c r="F1" s="22" t="s">
        <v>746</v>
      </c>
      <c r="G1" s="22" t="s">
        <v>1249</v>
      </c>
      <c r="H1" s="22" t="s">
        <v>768</v>
      </c>
      <c r="I1" s="22" t="s">
        <v>770</v>
      </c>
      <c r="J1" s="22" t="s">
        <v>750</v>
      </c>
      <c r="K1" s="22" t="s">
        <v>1722</v>
      </c>
      <c r="L1" s="22" t="s">
        <v>1721</v>
      </c>
      <c r="M1" s="22" t="s">
        <v>1709</v>
      </c>
      <c r="N1" s="22" t="s">
        <v>749</v>
      </c>
      <c r="O1" s="22" t="s">
        <v>756</v>
      </c>
      <c r="P1" s="22" t="s">
        <v>746</v>
      </c>
      <c r="Q1" s="22" t="s">
        <v>1249</v>
      </c>
      <c r="R1" s="22" t="s">
        <v>768</v>
      </c>
      <c r="S1" s="22" t="s">
        <v>770</v>
      </c>
      <c r="T1" s="22" t="s">
        <v>750</v>
      </c>
    </row>
    <row r="2" spans="1:24" ht="18" x14ac:dyDescent="0.25">
      <c r="A2" s="13" t="s">
        <v>1462</v>
      </c>
      <c r="B2" s="13" t="s">
        <v>1720</v>
      </c>
      <c r="C2" s="13" t="s">
        <v>1719</v>
      </c>
      <c r="D2" s="13">
        <v>10</v>
      </c>
      <c r="E2" s="13">
        <v>12</v>
      </c>
      <c r="F2" s="13">
        <v>5</v>
      </c>
      <c r="G2" s="13">
        <v>6</v>
      </c>
      <c r="H2" s="13">
        <v>1</v>
      </c>
      <c r="I2" s="13">
        <v>0</v>
      </c>
      <c r="J2" s="13">
        <f>(4*D2)+(E2)+(-2*G2)</f>
        <v>40</v>
      </c>
      <c r="K2" s="13">
        <f>(D2*12.01)+(E2*1.008)+(F2*14.01)+(G2*16)+(H2*30.97)+(I2*32.07)</f>
        <v>329.21600000000001</v>
      </c>
      <c r="L2" s="13">
        <f>G55</f>
        <v>0.26</v>
      </c>
      <c r="M2" s="13">
        <f>K2*L2</f>
        <v>85.596160000000012</v>
      </c>
      <c r="N2" s="13">
        <f>D2*$L2</f>
        <v>2.6</v>
      </c>
      <c r="O2" s="13">
        <f>E2*L2</f>
        <v>3.12</v>
      </c>
      <c r="P2" s="13">
        <f>F2*L2</f>
        <v>1.3</v>
      </c>
      <c r="Q2" s="13">
        <f>G2*L2</f>
        <v>1.56</v>
      </c>
      <c r="R2" s="13">
        <f>H2*L2</f>
        <v>0.26</v>
      </c>
      <c r="S2" s="13">
        <f>I2*L2</f>
        <v>0</v>
      </c>
      <c r="T2" s="13">
        <f>J2*L2</f>
        <v>10.4</v>
      </c>
      <c r="U2" s="5" t="s">
        <v>1765</v>
      </c>
      <c r="V2" s="5">
        <v>1</v>
      </c>
      <c r="W2" s="5" t="s">
        <v>1759</v>
      </c>
    </row>
    <row r="3" spans="1:24" ht="18" x14ac:dyDescent="0.25">
      <c r="B3" s="13" t="s">
        <v>1468</v>
      </c>
      <c r="C3" s="13" t="s">
        <v>1718</v>
      </c>
      <c r="D3" s="13">
        <v>10</v>
      </c>
      <c r="E3" s="13">
        <v>13</v>
      </c>
      <c r="F3" s="13">
        <v>2</v>
      </c>
      <c r="G3" s="13">
        <v>8</v>
      </c>
      <c r="H3" s="13">
        <v>1</v>
      </c>
      <c r="I3" s="13">
        <v>0</v>
      </c>
      <c r="J3" s="13">
        <f>(4*D3)+(E3)+(-2*G3)</f>
        <v>37</v>
      </c>
      <c r="K3" s="13">
        <f>(D3*12.01)+(E3*1.008)+(F3*14.01)+(G3*16)+(H3*30.97)+(I3*32.07)</f>
        <v>320.19400000000007</v>
      </c>
      <c r="L3" s="13">
        <f>G56</f>
        <v>0.26</v>
      </c>
      <c r="M3" s="13">
        <f>K3*L3</f>
        <v>83.250440000000026</v>
      </c>
      <c r="N3" s="13">
        <f>D3*$L3</f>
        <v>2.6</v>
      </c>
      <c r="O3" s="13">
        <f>E3*L3</f>
        <v>3.38</v>
      </c>
      <c r="P3" s="13">
        <f>F3*L3</f>
        <v>0.52</v>
      </c>
      <c r="Q3" s="13">
        <f>G3*L3</f>
        <v>2.08</v>
      </c>
      <c r="R3" s="13">
        <f>H3*L3</f>
        <v>0.26</v>
      </c>
      <c r="S3" s="13">
        <f>I3*L3</f>
        <v>0</v>
      </c>
      <c r="T3" s="13">
        <f>J3*L3</f>
        <v>9.620000000000001</v>
      </c>
      <c r="U3" s="5" t="s">
        <v>1766</v>
      </c>
      <c r="V3" s="5">
        <v>1</v>
      </c>
      <c r="W3" s="5" t="s">
        <v>1769</v>
      </c>
      <c r="X3" s="13" t="s">
        <v>1773</v>
      </c>
    </row>
    <row r="4" spans="1:24" ht="18" x14ac:dyDescent="0.25">
      <c r="B4" s="13" t="s">
        <v>1717</v>
      </c>
      <c r="C4" s="13" t="s">
        <v>1716</v>
      </c>
      <c r="D4" s="13">
        <v>9</v>
      </c>
      <c r="E4" s="13">
        <v>12</v>
      </c>
      <c r="F4" s="13">
        <v>3</v>
      </c>
      <c r="G4" s="13">
        <v>7</v>
      </c>
      <c r="H4" s="13">
        <v>1</v>
      </c>
      <c r="I4" s="13">
        <v>0</v>
      </c>
      <c r="J4" s="13">
        <f>(4*D4)+(E4)+(-2*G4)</f>
        <v>34</v>
      </c>
      <c r="K4" s="13">
        <f>(D4*12.01)+(E4*1.008)+(F4*14.01)+(G4*16)+(H4*30.97)+(I4*32.07)</f>
        <v>305.18600000000004</v>
      </c>
      <c r="L4" s="13">
        <f>G54</f>
        <v>0.24</v>
      </c>
      <c r="M4" s="13">
        <f>K4*L4</f>
        <v>73.244640000000004</v>
      </c>
      <c r="N4" s="13">
        <f>D4*$L4</f>
        <v>2.16</v>
      </c>
      <c r="O4" s="13">
        <f>E4*L4</f>
        <v>2.88</v>
      </c>
      <c r="P4" s="13">
        <f>F4*L4</f>
        <v>0.72</v>
      </c>
      <c r="Q4" s="13">
        <f>G4*L4</f>
        <v>1.68</v>
      </c>
      <c r="R4" s="13">
        <f>H4*L4</f>
        <v>0.24</v>
      </c>
      <c r="S4" s="13">
        <f>I4*L4</f>
        <v>0</v>
      </c>
      <c r="T4" s="13">
        <f>J4*L4</f>
        <v>8.16</v>
      </c>
      <c r="U4" s="5" t="s">
        <v>1767</v>
      </c>
      <c r="V4" s="5">
        <v>1</v>
      </c>
      <c r="W4" s="5" t="s">
        <v>1770</v>
      </c>
    </row>
    <row r="5" spans="1:24" ht="18" x14ac:dyDescent="0.25">
      <c r="B5" s="13" t="s">
        <v>1715</v>
      </c>
      <c r="C5" s="13" t="s">
        <v>1714</v>
      </c>
      <c r="D5" s="13">
        <v>10</v>
      </c>
      <c r="E5" s="13">
        <v>12</v>
      </c>
      <c r="F5" s="13">
        <v>5</v>
      </c>
      <c r="G5" s="13">
        <v>7</v>
      </c>
      <c r="H5" s="13">
        <v>1</v>
      </c>
      <c r="I5" s="13">
        <v>0</v>
      </c>
      <c r="J5" s="13">
        <f>(4*D5)+(E5)+(-2*G5)</f>
        <v>38</v>
      </c>
      <c r="K5" s="13">
        <f>(D5*12.01)+(E5*1.008)+(F5*14.01)+(G5*16)+(H5*30.97)+(I5*32.07)</f>
        <v>345.21600000000001</v>
      </c>
      <c r="L5" s="13">
        <f>G53</f>
        <v>0.24</v>
      </c>
      <c r="M5" s="13">
        <f>K5*L5</f>
        <v>82.851839999999996</v>
      </c>
      <c r="N5" s="13">
        <f>D5*$L5</f>
        <v>2.4</v>
      </c>
      <c r="O5" s="13">
        <f>E5*L5</f>
        <v>2.88</v>
      </c>
      <c r="P5" s="13">
        <f>F5*L5</f>
        <v>1.2</v>
      </c>
      <c r="Q5" s="13">
        <f>G5*L5</f>
        <v>1.68</v>
      </c>
      <c r="R5" s="13">
        <f>H5*L5</f>
        <v>0.24</v>
      </c>
      <c r="S5" s="13">
        <f>I5*L5</f>
        <v>0</v>
      </c>
      <c r="T5" s="13">
        <f>J5*L5</f>
        <v>9.1199999999999992</v>
      </c>
      <c r="U5" s="5" t="s">
        <v>1768</v>
      </c>
      <c r="V5" s="5">
        <v>1</v>
      </c>
      <c r="W5" s="5" t="s">
        <v>1764</v>
      </c>
      <c r="X5" s="13" t="str">
        <f>CONCATENATE(X3,W29,V5,W2,W30,L9,U9,W29,L10,U10,W29,L11,U11,W29,L12,U12)</f>
        <v>1 myell_rRNA + 1 H2O = 0.16 AMP_deg + 0.22 UMP_deg + 0.35 CMP_deg + 0.27 GMP_deg</v>
      </c>
    </row>
    <row r="6" spans="1:24" x14ac:dyDescent="0.25">
      <c r="C6" s="13" t="s">
        <v>1543</v>
      </c>
      <c r="E6" s="13">
        <v>2</v>
      </c>
      <c r="G6" s="13">
        <v>1</v>
      </c>
      <c r="K6" s="13">
        <f>(D6*12.01)+(E6*1.008)+(F6*14.01)+(G6*16)+(H6*30.97)+(I6*32.07)</f>
        <v>18.015999999999998</v>
      </c>
      <c r="L6" s="13">
        <v>-1</v>
      </c>
      <c r="M6" s="13">
        <f>K6*L6</f>
        <v>-18.015999999999998</v>
      </c>
      <c r="N6" s="13">
        <f>D6*$L6</f>
        <v>0</v>
      </c>
      <c r="O6" s="13">
        <f>E6*L6</f>
        <v>-2</v>
      </c>
      <c r="P6" s="13">
        <f>F6*L6</f>
        <v>0</v>
      </c>
      <c r="Q6" s="13">
        <f>G6*L6</f>
        <v>-1</v>
      </c>
      <c r="R6" s="13">
        <f>H6*L6</f>
        <v>0</v>
      </c>
      <c r="S6" s="13">
        <f>I6*L6</f>
        <v>0</v>
      </c>
      <c r="T6" s="13">
        <f>J6*L6</f>
        <v>0</v>
      </c>
      <c r="U6" s="5"/>
      <c r="V6" s="5"/>
      <c r="W6" s="5"/>
    </row>
    <row r="7" spans="1:24" x14ac:dyDescent="0.25">
      <c r="L7" s="13">
        <f>SUM(L2:L5)</f>
        <v>1</v>
      </c>
      <c r="M7" s="13">
        <f>SUM(M2:M6)</f>
        <v>306.92707999999999</v>
      </c>
      <c r="N7" s="13">
        <f t="shared" ref="N7:T7" si="0">SUM(N2:N6)</f>
        <v>9.76</v>
      </c>
      <c r="O7" s="13">
        <f t="shared" si="0"/>
        <v>10.259999999999998</v>
      </c>
      <c r="P7" s="13">
        <f t="shared" si="0"/>
        <v>3.74</v>
      </c>
      <c r="Q7" s="13">
        <f t="shared" si="0"/>
        <v>6</v>
      </c>
      <c r="R7" s="13">
        <f t="shared" si="0"/>
        <v>1</v>
      </c>
      <c r="S7" s="13">
        <f t="shared" si="0"/>
        <v>0</v>
      </c>
      <c r="T7" s="13">
        <f t="shared" si="0"/>
        <v>37.300000000000004</v>
      </c>
      <c r="U7" s="5"/>
      <c r="V7" s="5"/>
      <c r="W7" s="5"/>
    </row>
    <row r="8" spans="1:24" x14ac:dyDescent="0.25">
      <c r="U8" s="5"/>
      <c r="V8" s="5"/>
      <c r="W8" s="5"/>
    </row>
    <row r="9" spans="1:24" x14ac:dyDescent="0.25">
      <c r="A9" s="13" t="s">
        <v>1177</v>
      </c>
      <c r="B9" s="13" t="s">
        <v>1377</v>
      </c>
      <c r="C9" s="13" t="str">
        <f>Metabolites!F48</f>
        <v>C10H12N5O7P</v>
      </c>
      <c r="D9" s="13">
        <f>Metabolites!G48</f>
        <v>10</v>
      </c>
      <c r="E9" s="13">
        <f>Metabolites!H48</f>
        <v>12</v>
      </c>
      <c r="F9" s="13">
        <f>Metabolites!I48</f>
        <v>5</v>
      </c>
      <c r="G9" s="13">
        <f>Metabolites!J48</f>
        <v>7</v>
      </c>
      <c r="H9" s="13">
        <f>Metabolites!K48</f>
        <v>1</v>
      </c>
      <c r="I9" s="13">
        <f>Metabolites!L48</f>
        <v>0</v>
      </c>
      <c r="J9" s="13">
        <f>Metabolites!M48</f>
        <v>30</v>
      </c>
      <c r="K9" s="13">
        <f>(D9*12.01)+(E9*1.008)+(F9*14.01)+(G9*16)+(H9*30.97)+(I9*32.07)</f>
        <v>345.21600000000001</v>
      </c>
      <c r="L9" s="15">
        <f>K64</f>
        <v>0.16</v>
      </c>
      <c r="M9" s="13">
        <f>K9*L9</f>
        <v>55.234560000000002</v>
      </c>
      <c r="N9" s="15">
        <f>D9*$L9</f>
        <v>1.6</v>
      </c>
      <c r="O9" s="15">
        <f>E9*L9</f>
        <v>1.92</v>
      </c>
      <c r="P9" s="15">
        <f>F9*L9</f>
        <v>0.8</v>
      </c>
      <c r="Q9" s="15">
        <f>G9*L9</f>
        <v>1.1200000000000001</v>
      </c>
      <c r="R9" s="15">
        <f>H9*L9</f>
        <v>0.16</v>
      </c>
      <c r="S9" s="15">
        <f>I9*L9</f>
        <v>0</v>
      </c>
      <c r="T9" s="15">
        <f>J9*L9</f>
        <v>4.8</v>
      </c>
      <c r="U9" s="5" t="s">
        <v>1990</v>
      </c>
      <c r="V9" s="5"/>
      <c r="W9" s="5"/>
    </row>
    <row r="10" spans="1:24" x14ac:dyDescent="0.25">
      <c r="B10" s="13" t="s">
        <v>1215</v>
      </c>
      <c r="C10" s="13" t="str">
        <f>Metabolites!F274</f>
        <v>C9H11N2O9P</v>
      </c>
      <c r="D10" s="13">
        <f>Metabolites!G274</f>
        <v>9</v>
      </c>
      <c r="E10" s="13">
        <f>Metabolites!H274</f>
        <v>11</v>
      </c>
      <c r="F10" s="13">
        <f>Metabolites!I274</f>
        <v>2</v>
      </c>
      <c r="G10" s="13">
        <f>Metabolites!J274</f>
        <v>9</v>
      </c>
      <c r="H10" s="13">
        <f>Metabolites!K274</f>
        <v>1</v>
      </c>
      <c r="I10" s="13">
        <f>Metabolites!L274</f>
        <v>0</v>
      </c>
      <c r="J10" s="13">
        <f>Metabolites!M274</f>
        <v>30</v>
      </c>
      <c r="K10" s="13">
        <f>(D10*12.01)+(E10*1.008)+(F10*14.01)+(G10*16)+(H10*30.97)+(I10*32.07)</f>
        <v>322.16800000000001</v>
      </c>
      <c r="L10" s="15">
        <f>L64</f>
        <v>0.22</v>
      </c>
      <c r="M10" s="13">
        <f>K10*L10</f>
        <v>70.876959999999997</v>
      </c>
      <c r="N10" s="15">
        <f>D10*$L10</f>
        <v>1.98</v>
      </c>
      <c r="O10" s="15">
        <f>E10*L10</f>
        <v>2.42</v>
      </c>
      <c r="P10" s="15">
        <f>F10*L10</f>
        <v>0.44</v>
      </c>
      <c r="Q10" s="15">
        <f>G10*L10</f>
        <v>1.98</v>
      </c>
      <c r="R10" s="15">
        <f>H10*L10</f>
        <v>0.22</v>
      </c>
      <c r="S10" s="15">
        <f>I10*L10</f>
        <v>0</v>
      </c>
      <c r="T10" s="15">
        <f>J10*L10</f>
        <v>6.6</v>
      </c>
      <c r="U10" s="5" t="s">
        <v>1991</v>
      </c>
      <c r="V10" s="5"/>
      <c r="W10" s="5"/>
    </row>
    <row r="11" spans="1:24" x14ac:dyDescent="0.25">
      <c r="B11" s="13" t="s">
        <v>1632</v>
      </c>
      <c r="C11" s="13" t="str">
        <f>Metabolites!F63</f>
        <v>C9H12N3O8P</v>
      </c>
      <c r="D11" s="13">
        <f>Metabolites!G63</f>
        <v>9</v>
      </c>
      <c r="E11" s="13">
        <f>Metabolites!H63</f>
        <v>12</v>
      </c>
      <c r="F11" s="13">
        <f>Metabolites!I63</f>
        <v>3</v>
      </c>
      <c r="G11" s="13">
        <f>Metabolites!J63</f>
        <v>8</v>
      </c>
      <c r="H11" s="13">
        <f>Metabolites!K63</f>
        <v>1</v>
      </c>
      <c r="I11" s="13">
        <f>Metabolites!L63</f>
        <v>0</v>
      </c>
      <c r="J11" s="13">
        <f>Metabolites!M63</f>
        <v>30</v>
      </c>
      <c r="K11" s="13">
        <f>(D11*12.01)+(E11*1.008)+(F11*14.01)+(G11*16)+(H11*30.97)+(I11*32.07)</f>
        <v>321.18600000000004</v>
      </c>
      <c r="L11" s="15">
        <f>M64</f>
        <v>0.35000000000000003</v>
      </c>
      <c r="M11" s="13">
        <f>K11*L11</f>
        <v>112.41510000000002</v>
      </c>
      <c r="N11" s="15">
        <f>D11*$L11</f>
        <v>3.1500000000000004</v>
      </c>
      <c r="O11" s="15">
        <f>E11*L11</f>
        <v>4.2</v>
      </c>
      <c r="P11" s="15">
        <f>F11*L11</f>
        <v>1.05</v>
      </c>
      <c r="Q11" s="15">
        <f>G11*L11</f>
        <v>2.8000000000000003</v>
      </c>
      <c r="R11" s="15">
        <f>H11*L11</f>
        <v>0.35000000000000003</v>
      </c>
      <c r="S11" s="15">
        <f>I11*L11</f>
        <v>0</v>
      </c>
      <c r="T11" s="15">
        <f>J11*L11</f>
        <v>10.500000000000002</v>
      </c>
      <c r="U11" s="5" t="s">
        <v>1992</v>
      </c>
      <c r="V11" s="5"/>
      <c r="W11" s="5"/>
    </row>
    <row r="12" spans="1:24" x14ac:dyDescent="0.25">
      <c r="B12" s="13" t="s">
        <v>1534</v>
      </c>
      <c r="C12" s="13" t="str">
        <f>Metabolites!F120</f>
        <v>C10H12N5O8P</v>
      </c>
      <c r="D12" s="13">
        <f>Metabolites!G120</f>
        <v>10</v>
      </c>
      <c r="E12" s="13">
        <f>Metabolites!H120</f>
        <v>12</v>
      </c>
      <c r="F12" s="13">
        <f>Metabolites!I120</f>
        <v>5</v>
      </c>
      <c r="G12" s="13">
        <f>Metabolites!J120</f>
        <v>8</v>
      </c>
      <c r="H12" s="13">
        <f>Metabolites!K120</f>
        <v>1</v>
      </c>
      <c r="I12" s="13">
        <f>Metabolites!L120</f>
        <v>0</v>
      </c>
      <c r="J12" s="13">
        <f>Metabolites!M120</f>
        <v>28</v>
      </c>
      <c r="K12" s="13">
        <f>(D12*12.01)+(E12*1.008)+(F12*14.01)+(G12*16)+(H12*30.97)+(I12*32.07)</f>
        <v>361.21600000000001</v>
      </c>
      <c r="L12" s="15">
        <f>N64</f>
        <v>0.27</v>
      </c>
      <c r="M12" s="13">
        <f>K12*L12</f>
        <v>97.528320000000008</v>
      </c>
      <c r="N12" s="15">
        <f>D12*$L12</f>
        <v>2.7</v>
      </c>
      <c r="O12" s="15">
        <f>E12*L12</f>
        <v>3.24</v>
      </c>
      <c r="P12" s="15">
        <f>F12*L12</f>
        <v>1.35</v>
      </c>
      <c r="Q12" s="15">
        <f>G12*L12</f>
        <v>2.16</v>
      </c>
      <c r="R12" s="15">
        <f>H12*L12</f>
        <v>0.27</v>
      </c>
      <c r="S12" s="15">
        <f>I12*L12</f>
        <v>0</v>
      </c>
      <c r="T12" s="15">
        <f>J12*L12</f>
        <v>7.5600000000000005</v>
      </c>
      <c r="U12" s="5" t="s">
        <v>1993</v>
      </c>
      <c r="V12" s="5"/>
      <c r="W12" s="5"/>
    </row>
    <row r="13" spans="1:24" x14ac:dyDescent="0.25">
      <c r="C13" s="13" t="s">
        <v>1543</v>
      </c>
      <c r="E13" s="13">
        <v>2</v>
      </c>
      <c r="G13" s="13">
        <v>1</v>
      </c>
      <c r="K13" s="13">
        <f>(D13*12.01)+(E13*1.008)+(F13*14.01)+(G13*16)+(H13*30.97)+(I13*32.07)</f>
        <v>18.015999999999998</v>
      </c>
      <c r="L13" s="13">
        <v>-1</v>
      </c>
      <c r="M13" s="13">
        <f>K13*L13</f>
        <v>-18.015999999999998</v>
      </c>
      <c r="N13" s="13">
        <f>D13*$L13</f>
        <v>0</v>
      </c>
      <c r="O13" s="13">
        <f>E13*L13</f>
        <v>-2</v>
      </c>
      <c r="P13" s="13">
        <f>F13*L13</f>
        <v>0</v>
      </c>
      <c r="Q13" s="13">
        <f>G13*L13</f>
        <v>-1</v>
      </c>
      <c r="R13" s="13">
        <f>H13*L13</f>
        <v>0</v>
      </c>
      <c r="S13" s="13">
        <f>I13*L13</f>
        <v>0</v>
      </c>
      <c r="T13" s="13">
        <f>J13*L13</f>
        <v>0</v>
      </c>
      <c r="U13" s="5"/>
      <c r="V13" s="5"/>
      <c r="W13" s="5"/>
    </row>
    <row r="14" spans="1:24" x14ac:dyDescent="0.25">
      <c r="L14" s="15">
        <f>SUM(L9:L12)</f>
        <v>1</v>
      </c>
      <c r="M14" s="15">
        <f t="shared" ref="M14:T14" si="1">SUM(M9:M13)</f>
        <v>318.03894000000003</v>
      </c>
      <c r="N14" s="15">
        <f t="shared" si="1"/>
        <v>9.43</v>
      </c>
      <c r="O14" s="15">
        <f t="shared" si="1"/>
        <v>9.7799999999999994</v>
      </c>
      <c r="P14" s="15">
        <f t="shared" si="1"/>
        <v>3.64</v>
      </c>
      <c r="Q14" s="15">
        <f t="shared" si="1"/>
        <v>7.0600000000000005</v>
      </c>
      <c r="R14" s="15">
        <f t="shared" si="1"/>
        <v>1</v>
      </c>
      <c r="S14" s="15">
        <f t="shared" si="1"/>
        <v>0</v>
      </c>
      <c r="T14" s="15">
        <f t="shared" si="1"/>
        <v>29.46</v>
      </c>
      <c r="U14" s="5"/>
      <c r="V14" s="5"/>
      <c r="W14" s="5"/>
    </row>
    <row r="15" spans="1:24" x14ac:dyDescent="0.25">
      <c r="U15" s="5"/>
      <c r="V15" s="5"/>
      <c r="W15" s="5"/>
    </row>
    <row r="16" spans="1:24" x14ac:dyDescent="0.25">
      <c r="A16" s="13" t="s">
        <v>1706</v>
      </c>
      <c r="B16" s="13" t="s">
        <v>2109</v>
      </c>
      <c r="C16"/>
      <c r="D16">
        <f>Metabolites!G56</f>
        <v>86</v>
      </c>
      <c r="E16">
        <f>Metabolites!H56</f>
        <v>170</v>
      </c>
      <c r="F16">
        <f>Metabolites!I56</f>
        <v>0</v>
      </c>
      <c r="G16">
        <f>Metabolites!J56</f>
        <v>12</v>
      </c>
      <c r="H16">
        <f>Metabolites!K56</f>
        <v>2</v>
      </c>
      <c r="I16">
        <f>Metabolites!L56</f>
        <v>0</v>
      </c>
      <c r="J16">
        <f>Metabolites!M56</f>
        <v>504</v>
      </c>
      <c r="K16" s="13">
        <f>(D16*12.01)+(E16*1.008)+(F16*14.01)+(G16*16)+(H16*30.97)+(I16*32.07)</f>
        <v>1458.1599999999999</v>
      </c>
      <c r="L16" s="13">
        <v>1</v>
      </c>
      <c r="M16" s="13">
        <f>K16*L16</f>
        <v>1458.1599999999999</v>
      </c>
      <c r="N16" s="13">
        <f t="shared" ref="N16:S16" si="2">D16*$L16</f>
        <v>86</v>
      </c>
      <c r="O16" s="13">
        <f t="shared" si="2"/>
        <v>170</v>
      </c>
      <c r="P16" s="13">
        <f t="shared" si="2"/>
        <v>0</v>
      </c>
      <c r="Q16" s="13">
        <f t="shared" si="2"/>
        <v>12</v>
      </c>
      <c r="R16" s="13">
        <f t="shared" si="2"/>
        <v>2</v>
      </c>
      <c r="S16" s="13">
        <f t="shared" si="2"/>
        <v>0</v>
      </c>
      <c r="T16" s="13">
        <f>J16*L16</f>
        <v>504</v>
      </c>
      <c r="U16" s="5"/>
      <c r="V16" s="5"/>
      <c r="W16" s="5"/>
    </row>
    <row r="17" spans="1:24" x14ac:dyDescent="0.25">
      <c r="B17"/>
      <c r="U17" s="5"/>
      <c r="V17" s="5"/>
      <c r="W17" s="5"/>
    </row>
    <row r="18" spans="1:24" ht="18.75" x14ac:dyDescent="0.35">
      <c r="A18" s="13" t="s">
        <v>1713</v>
      </c>
      <c r="B18" s="13" t="s">
        <v>1400</v>
      </c>
      <c r="C18" s="3" t="s">
        <v>1401</v>
      </c>
      <c r="D18" s="3">
        <f>Metabolites!G58</f>
        <v>12</v>
      </c>
      <c r="E18" s="3">
        <f>Metabolites!H58</f>
        <v>22</v>
      </c>
      <c r="F18" s="3">
        <f>Metabolites!I58</f>
        <v>0</v>
      </c>
      <c r="G18" s="3">
        <f>Metabolites!J58</f>
        <v>11</v>
      </c>
      <c r="H18" s="3">
        <f>Metabolites!K58</f>
        <v>0</v>
      </c>
      <c r="I18" s="3">
        <f>Metabolites!L58</f>
        <v>0</v>
      </c>
      <c r="J18" s="3">
        <f>Metabolites!M58</f>
        <v>48</v>
      </c>
      <c r="K18" s="13">
        <f>(D18*12.01)+(E18*1.008)+(F18*14.01)+(G18*16)+(H18*30.97)+(I18*32.07)</f>
        <v>342.29599999999999</v>
      </c>
      <c r="L18" s="13">
        <v>1</v>
      </c>
      <c r="M18" s="13">
        <f>K18*L18</f>
        <v>342.29599999999999</v>
      </c>
      <c r="N18" s="13">
        <f>D18*$L18</f>
        <v>12</v>
      </c>
      <c r="O18" s="13">
        <f>E18*L18</f>
        <v>22</v>
      </c>
      <c r="P18" s="13">
        <f>F18*L18</f>
        <v>0</v>
      </c>
      <c r="Q18" s="13">
        <f>G18*L18</f>
        <v>11</v>
      </c>
      <c r="R18" s="13">
        <f>H18*L18</f>
        <v>0</v>
      </c>
      <c r="S18" s="13">
        <f>I18*L18</f>
        <v>0</v>
      </c>
      <c r="T18" s="13">
        <f>J18*L18</f>
        <v>48</v>
      </c>
      <c r="U18" s="5"/>
      <c r="V18" s="5"/>
      <c r="W18" s="5"/>
    </row>
    <row r="19" spans="1:24" x14ac:dyDescent="0.25">
      <c r="U19" s="5"/>
      <c r="V19" s="5"/>
      <c r="W19" s="5"/>
    </row>
    <row r="20" spans="1:24" x14ac:dyDescent="0.25">
      <c r="A20" s="13" t="s">
        <v>1712</v>
      </c>
      <c r="B20" s="5" t="s">
        <v>1570</v>
      </c>
      <c r="C20" s="13" t="str">
        <f>Metabolites!F145</f>
        <v>C3H7NO2</v>
      </c>
      <c r="D20" s="13">
        <f>Metabolites!G145</f>
        <v>3</v>
      </c>
      <c r="E20" s="13">
        <f>Metabolites!H145</f>
        <v>7</v>
      </c>
      <c r="F20" s="13">
        <f>Metabolites!I145</f>
        <v>1</v>
      </c>
      <c r="G20" s="13">
        <f>Metabolites!J145</f>
        <v>2</v>
      </c>
      <c r="H20" s="13">
        <f>Metabolites!K145</f>
        <v>0</v>
      </c>
      <c r="I20" s="13">
        <f>Metabolites!L145</f>
        <v>0</v>
      </c>
      <c r="J20" s="13">
        <f>Metabolites!M145</f>
        <v>12</v>
      </c>
      <c r="K20" s="13">
        <f t="shared" ref="K20:K39" si="3">(D20*12.01)+(E20*1.008)+(F20*14.01)+(G20*16)+(H20*30.97)+(I20*32.07)</f>
        <v>89.096000000000004</v>
      </c>
      <c r="L20" s="13">
        <f t="shared" ref="L20:L38" si="4">E68</f>
        <v>6</v>
      </c>
      <c r="M20" s="13">
        <f t="shared" ref="M20:M40" si="5">K20*L20</f>
        <v>534.57600000000002</v>
      </c>
      <c r="N20" s="13">
        <f t="shared" ref="N20:N39" si="6">D20*$L20</f>
        <v>18</v>
      </c>
      <c r="O20" s="13">
        <f t="shared" ref="O20:O39" si="7">E20*L20</f>
        <v>42</v>
      </c>
      <c r="P20" s="13">
        <f t="shared" ref="P20:P39" si="8">F20*L20</f>
        <v>6</v>
      </c>
      <c r="Q20" s="13">
        <f t="shared" ref="Q20:Q39" si="9">G20*L20</f>
        <v>12</v>
      </c>
      <c r="R20" s="13">
        <f t="shared" ref="R20:R39" si="10">H20*L20</f>
        <v>0</v>
      </c>
      <c r="S20" s="13">
        <f t="shared" ref="S20:S39" si="11">I20*L20</f>
        <v>0</v>
      </c>
      <c r="T20" s="13">
        <f t="shared" ref="T20:T39" si="12">J20*L20</f>
        <v>72</v>
      </c>
      <c r="U20" s="5" t="s">
        <v>1737</v>
      </c>
      <c r="V20" s="5">
        <v>100</v>
      </c>
      <c r="W20" s="5" t="s">
        <v>1757</v>
      </c>
    </row>
    <row r="21" spans="1:24" x14ac:dyDescent="0.25">
      <c r="B21" s="5" t="s">
        <v>1582</v>
      </c>
      <c r="C21" s="13" t="str">
        <f>Metabolites!F155</f>
        <v>C3H7NO2S</v>
      </c>
      <c r="D21" s="13">
        <f>Metabolites!G155</f>
        <v>3</v>
      </c>
      <c r="E21" s="13">
        <f>Metabolites!H155</f>
        <v>7</v>
      </c>
      <c r="F21" s="13">
        <f>Metabolites!I155</f>
        <v>1</v>
      </c>
      <c r="G21" s="13">
        <f>Metabolites!J155</f>
        <v>2</v>
      </c>
      <c r="H21" s="13">
        <f>Metabolites!K155</f>
        <v>0</v>
      </c>
      <c r="I21" s="13">
        <f>Metabolites!L155</f>
        <v>1</v>
      </c>
      <c r="J21" s="13">
        <f>Metabolites!M155</f>
        <v>10</v>
      </c>
      <c r="K21" s="13">
        <f t="shared" si="3"/>
        <v>121.166</v>
      </c>
      <c r="L21" s="13">
        <f t="shared" si="4"/>
        <v>0.7</v>
      </c>
      <c r="M21" s="13">
        <f t="shared" si="5"/>
        <v>84.816199999999995</v>
      </c>
      <c r="N21" s="13">
        <f t="shared" si="6"/>
        <v>2.0999999999999996</v>
      </c>
      <c r="O21" s="13">
        <f t="shared" si="7"/>
        <v>4.8999999999999995</v>
      </c>
      <c r="P21" s="13">
        <f t="shared" si="8"/>
        <v>0.7</v>
      </c>
      <c r="Q21" s="13">
        <f t="shared" si="9"/>
        <v>1.4</v>
      </c>
      <c r="R21" s="13">
        <f t="shared" si="10"/>
        <v>0</v>
      </c>
      <c r="S21" s="13">
        <f t="shared" si="11"/>
        <v>0.7</v>
      </c>
      <c r="T21" s="13">
        <f t="shared" si="12"/>
        <v>7</v>
      </c>
      <c r="U21" s="5" t="s">
        <v>1738</v>
      </c>
      <c r="V21" s="5">
        <v>198</v>
      </c>
      <c r="W21" s="5" t="s">
        <v>1758</v>
      </c>
      <c r="X21" s="13" t="str">
        <f>CONCATENATE(W31,W29,V35,W22,W30,L20,U20,W29,L21,U21,W29,L22,U22,W29,L23,U23,W29,L24,U24,W29,L25,U25,W29,L26,U26,W29,L27,U27,W29,L28,U28,W29,L29,U29,W29,L30,U30,W29,L31,U31,W29,L32,U32,W29,L33,U33,W29,L34,U34,W29,L35,U35,W29,L36,U36,W29,L37,U37,W29,L38,U38,W29,L39,U39)</f>
        <v>1 myell_protein + 99 H2O = 6 L-Alanine + 0.7 L-Cysteine + 4.6 L-Aspartate + 7.2 L-Glutamate + 4.2 L-Phenylalanine + 7.5 Glycine + 1.5 L-Histidine + 6.5 L-Isoleucine + 6.1 L-Lysine + 11 L-Leucine + 2.4 L-Methionine + 3.6 L-Asparagine + 4.3 L-Proline + 2.3 L-Glutamine + 6.3 L-Arginine + 7 L-Serine + 4.9 L-Threonine + 9.1 L-Valine + 1.2 L-Tryptophan + 3.9 L-Tyrosine</v>
      </c>
    </row>
    <row r="22" spans="1:24" x14ac:dyDescent="0.25">
      <c r="B22" s="5" t="s">
        <v>1578</v>
      </c>
      <c r="C22" s="13" t="str">
        <f>Metabolites!F152</f>
        <v>C4H6NO4</v>
      </c>
      <c r="D22" s="13">
        <f>Metabolites!G152</f>
        <v>4</v>
      </c>
      <c r="E22" s="13">
        <f>Metabolites!H152</f>
        <v>6</v>
      </c>
      <c r="F22" s="13">
        <f>Metabolites!I152</f>
        <v>1</v>
      </c>
      <c r="G22" s="13">
        <f>Metabolites!J152</f>
        <v>4</v>
      </c>
      <c r="H22" s="13">
        <f>Metabolites!K152</f>
        <v>0</v>
      </c>
      <c r="I22" s="13">
        <f>Metabolites!L152</f>
        <v>0</v>
      </c>
      <c r="J22" s="13">
        <f>Metabolites!M152</f>
        <v>12</v>
      </c>
      <c r="K22" s="13">
        <f t="shared" si="3"/>
        <v>132.09800000000001</v>
      </c>
      <c r="L22" s="13">
        <f t="shared" si="4"/>
        <v>4.5999999999999996</v>
      </c>
      <c r="M22" s="13">
        <f t="shared" si="5"/>
        <v>607.6508</v>
      </c>
      <c r="N22" s="13">
        <f t="shared" si="6"/>
        <v>18.399999999999999</v>
      </c>
      <c r="O22" s="13">
        <f t="shared" si="7"/>
        <v>27.599999999999998</v>
      </c>
      <c r="P22" s="13">
        <f t="shared" si="8"/>
        <v>4.5999999999999996</v>
      </c>
      <c r="Q22" s="13">
        <f t="shared" si="9"/>
        <v>18.399999999999999</v>
      </c>
      <c r="R22" s="13">
        <f t="shared" si="10"/>
        <v>0</v>
      </c>
      <c r="S22" s="13">
        <f t="shared" si="11"/>
        <v>0</v>
      </c>
      <c r="T22" s="13">
        <f t="shared" si="12"/>
        <v>55.199999999999996</v>
      </c>
      <c r="U22" s="5" t="s">
        <v>1739</v>
      </c>
      <c r="V22" s="5">
        <v>199</v>
      </c>
      <c r="W22" s="5" t="s">
        <v>1759</v>
      </c>
    </row>
    <row r="23" spans="1:24" x14ac:dyDescent="0.25">
      <c r="B23" s="5" t="s">
        <v>1583</v>
      </c>
      <c r="C23" s="13" t="str">
        <f>Metabolites!F157</f>
        <v>C5H8NO4</v>
      </c>
      <c r="D23" s="13">
        <f>Metabolites!G157</f>
        <v>5</v>
      </c>
      <c r="E23" s="13">
        <f>Metabolites!H157</f>
        <v>8</v>
      </c>
      <c r="F23" s="13">
        <f>Metabolites!I157</f>
        <v>1</v>
      </c>
      <c r="G23" s="13">
        <f>Metabolites!J157</f>
        <v>4</v>
      </c>
      <c r="H23" s="13">
        <f>Metabolites!K157</f>
        <v>0</v>
      </c>
      <c r="I23" s="13">
        <f>Metabolites!L157</f>
        <v>0</v>
      </c>
      <c r="J23" s="13">
        <f>Metabolites!M157</f>
        <v>18</v>
      </c>
      <c r="K23" s="13">
        <f t="shared" si="3"/>
        <v>146.12400000000002</v>
      </c>
      <c r="L23" s="13">
        <f t="shared" si="4"/>
        <v>7.2</v>
      </c>
      <c r="M23" s="13">
        <f t="shared" si="5"/>
        <v>1052.0928000000001</v>
      </c>
      <c r="N23" s="13">
        <f t="shared" si="6"/>
        <v>36</v>
      </c>
      <c r="O23" s="13">
        <f t="shared" si="7"/>
        <v>57.6</v>
      </c>
      <c r="P23" s="13">
        <f t="shared" si="8"/>
        <v>7.2</v>
      </c>
      <c r="Q23" s="13">
        <f t="shared" si="9"/>
        <v>28.8</v>
      </c>
      <c r="R23" s="13">
        <f t="shared" si="10"/>
        <v>0</v>
      </c>
      <c r="S23" s="13">
        <f t="shared" si="11"/>
        <v>0</v>
      </c>
      <c r="T23" s="13">
        <f t="shared" si="12"/>
        <v>129.6</v>
      </c>
      <c r="U23" s="5" t="s">
        <v>1740</v>
      </c>
      <c r="V23" s="5">
        <v>100</v>
      </c>
      <c r="W23" s="5" t="s">
        <v>1760</v>
      </c>
    </row>
    <row r="24" spans="1:24" x14ac:dyDescent="0.25">
      <c r="B24" s="5" t="s">
        <v>1068</v>
      </c>
      <c r="C24" s="13" t="str">
        <f>Metabolites!F179</f>
        <v>C9H11NO2</v>
      </c>
      <c r="D24" s="13">
        <f>Metabolites!G179</f>
        <v>9</v>
      </c>
      <c r="E24" s="13">
        <f>Metabolites!H179</f>
        <v>11</v>
      </c>
      <c r="F24" s="13">
        <f>Metabolites!I179</f>
        <v>1</v>
      </c>
      <c r="G24" s="13">
        <f>Metabolites!J179</f>
        <v>2</v>
      </c>
      <c r="H24" s="13">
        <f>Metabolites!K179</f>
        <v>0</v>
      </c>
      <c r="I24" s="13">
        <f>Metabolites!L179</f>
        <v>0</v>
      </c>
      <c r="J24" s="13">
        <f>Metabolites!M179</f>
        <v>40</v>
      </c>
      <c r="K24" s="13">
        <f t="shared" si="3"/>
        <v>165.18799999999999</v>
      </c>
      <c r="L24" s="13">
        <f t="shared" si="4"/>
        <v>4.2</v>
      </c>
      <c r="M24" s="13">
        <f t="shared" si="5"/>
        <v>693.78959999999995</v>
      </c>
      <c r="N24" s="13">
        <f t="shared" si="6"/>
        <v>37.800000000000004</v>
      </c>
      <c r="O24" s="13">
        <f t="shared" si="7"/>
        <v>46.2</v>
      </c>
      <c r="P24" s="13">
        <f t="shared" si="8"/>
        <v>4.2</v>
      </c>
      <c r="Q24" s="13">
        <f t="shared" si="9"/>
        <v>8.4</v>
      </c>
      <c r="R24" s="13">
        <f t="shared" si="10"/>
        <v>0</v>
      </c>
      <c r="S24" s="13">
        <f t="shared" si="11"/>
        <v>0</v>
      </c>
      <c r="T24" s="13">
        <f t="shared" si="12"/>
        <v>168</v>
      </c>
      <c r="U24" s="5" t="s">
        <v>1741</v>
      </c>
      <c r="V24" s="5">
        <v>198</v>
      </c>
      <c r="W24" s="5" t="s">
        <v>1761</v>
      </c>
    </row>
    <row r="25" spans="1:24" x14ac:dyDescent="0.25">
      <c r="B25" s="5" t="s">
        <v>753</v>
      </c>
      <c r="C25" s="13" t="str">
        <f>Metabolites!F117</f>
        <v>C2H5NO2</v>
      </c>
      <c r="D25" s="13">
        <f>Metabolites!G117</f>
        <v>2</v>
      </c>
      <c r="E25" s="13">
        <f>Metabolites!H117</f>
        <v>5</v>
      </c>
      <c r="F25" s="13">
        <f>Metabolites!I117</f>
        <v>1</v>
      </c>
      <c r="G25" s="13">
        <f>Metabolites!J117</f>
        <v>2</v>
      </c>
      <c r="H25" s="13">
        <f>Metabolites!K117</f>
        <v>0</v>
      </c>
      <c r="I25" s="13">
        <f>Metabolites!L117</f>
        <v>0</v>
      </c>
      <c r="J25" s="13">
        <f>Metabolites!M117</f>
        <v>6</v>
      </c>
      <c r="K25" s="13">
        <f t="shared" si="3"/>
        <v>75.069999999999993</v>
      </c>
      <c r="L25" s="13">
        <f t="shared" si="4"/>
        <v>7.5</v>
      </c>
      <c r="M25" s="13">
        <f t="shared" si="5"/>
        <v>563.02499999999998</v>
      </c>
      <c r="N25" s="13">
        <f t="shared" si="6"/>
        <v>15</v>
      </c>
      <c r="O25" s="13">
        <f t="shared" si="7"/>
        <v>37.5</v>
      </c>
      <c r="P25" s="13">
        <f t="shared" si="8"/>
        <v>7.5</v>
      </c>
      <c r="Q25" s="13">
        <f t="shared" si="9"/>
        <v>15</v>
      </c>
      <c r="R25" s="13">
        <f t="shared" si="10"/>
        <v>0</v>
      </c>
      <c r="S25" s="13">
        <f t="shared" si="11"/>
        <v>0</v>
      </c>
      <c r="T25" s="13">
        <f t="shared" si="12"/>
        <v>45</v>
      </c>
      <c r="U25" s="5" t="s">
        <v>1742</v>
      </c>
      <c r="V25" s="5">
        <v>1</v>
      </c>
      <c r="W25" s="5" t="s">
        <v>1762</v>
      </c>
    </row>
    <row r="26" spans="1:24" x14ac:dyDescent="0.25">
      <c r="B26" s="5" t="s">
        <v>1042</v>
      </c>
      <c r="C26" s="13" t="str">
        <f>Metabolites!F163</f>
        <v>C6H9N3O2</v>
      </c>
      <c r="D26" s="13">
        <f>Metabolites!G163</f>
        <v>6</v>
      </c>
      <c r="E26" s="13">
        <f>Metabolites!H163</f>
        <v>9</v>
      </c>
      <c r="F26" s="13">
        <f>Metabolites!I163</f>
        <v>3</v>
      </c>
      <c r="G26" s="13">
        <f>Metabolites!J163</f>
        <v>2</v>
      </c>
      <c r="H26" s="13">
        <f>Metabolites!K163</f>
        <v>0</v>
      </c>
      <c r="I26" s="13">
        <f>Metabolites!L163</f>
        <v>0</v>
      </c>
      <c r="J26" s="13">
        <f>Metabolites!M163</f>
        <v>20</v>
      </c>
      <c r="K26" s="13">
        <f t="shared" si="3"/>
        <v>155.16200000000001</v>
      </c>
      <c r="L26" s="13">
        <f t="shared" si="4"/>
        <v>1.5</v>
      </c>
      <c r="M26" s="13">
        <f t="shared" si="5"/>
        <v>232.74299999999999</v>
      </c>
      <c r="N26" s="13">
        <f t="shared" si="6"/>
        <v>9</v>
      </c>
      <c r="O26" s="13">
        <f t="shared" si="7"/>
        <v>13.5</v>
      </c>
      <c r="P26" s="13">
        <f t="shared" si="8"/>
        <v>4.5</v>
      </c>
      <c r="Q26" s="13">
        <f t="shared" si="9"/>
        <v>3</v>
      </c>
      <c r="R26" s="13">
        <f t="shared" si="10"/>
        <v>0</v>
      </c>
      <c r="S26" s="13">
        <f t="shared" si="11"/>
        <v>0</v>
      </c>
      <c r="T26" s="13">
        <f t="shared" si="12"/>
        <v>30</v>
      </c>
      <c r="U26" s="5" t="s">
        <v>1743</v>
      </c>
      <c r="V26" s="5">
        <v>198</v>
      </c>
      <c r="W26" s="5" t="s">
        <v>1763</v>
      </c>
    </row>
    <row r="27" spans="1:24" x14ac:dyDescent="0.25">
      <c r="B27" s="5" t="s">
        <v>1054</v>
      </c>
      <c r="C27" s="13" t="str">
        <f>Metabolites!F169</f>
        <v>C6H13NO2</v>
      </c>
      <c r="D27" s="13">
        <f>Metabolites!G169</f>
        <v>6</v>
      </c>
      <c r="E27" s="13">
        <f>Metabolites!H169</f>
        <v>13</v>
      </c>
      <c r="F27" s="13">
        <f>Metabolites!I169</f>
        <v>1</v>
      </c>
      <c r="G27" s="13">
        <f>Metabolites!J169</f>
        <v>2</v>
      </c>
      <c r="H27" s="13">
        <f>Metabolites!K169</f>
        <v>0</v>
      </c>
      <c r="I27" s="13">
        <f>Metabolites!L169</f>
        <v>0</v>
      </c>
      <c r="J27" s="13">
        <f>Metabolites!M169</f>
        <v>30</v>
      </c>
      <c r="K27" s="13">
        <f t="shared" si="3"/>
        <v>131.17400000000001</v>
      </c>
      <c r="L27" s="13">
        <f t="shared" si="4"/>
        <v>6.5</v>
      </c>
      <c r="M27" s="13">
        <f t="shared" si="5"/>
        <v>852.63100000000009</v>
      </c>
      <c r="N27" s="13">
        <f t="shared" si="6"/>
        <v>39</v>
      </c>
      <c r="O27" s="13">
        <f t="shared" si="7"/>
        <v>84.5</v>
      </c>
      <c r="P27" s="13">
        <f t="shared" si="8"/>
        <v>6.5</v>
      </c>
      <c r="Q27" s="13">
        <f t="shared" si="9"/>
        <v>13</v>
      </c>
      <c r="R27" s="13">
        <f t="shared" si="10"/>
        <v>0</v>
      </c>
      <c r="S27" s="13">
        <f t="shared" si="11"/>
        <v>0</v>
      </c>
      <c r="T27" s="13">
        <f t="shared" si="12"/>
        <v>195</v>
      </c>
      <c r="U27" s="5" t="s">
        <v>1744</v>
      </c>
      <c r="V27" s="5">
        <v>100</v>
      </c>
      <c r="W27" s="5" t="s">
        <v>1770</v>
      </c>
    </row>
    <row r="28" spans="1:24" x14ac:dyDescent="0.25">
      <c r="B28" s="5" t="s">
        <v>1059</v>
      </c>
      <c r="C28" s="13" t="str">
        <f>Metabolites!F174</f>
        <v>C6H15N2O2</v>
      </c>
      <c r="D28" s="13">
        <f>Metabolites!G174</f>
        <v>6</v>
      </c>
      <c r="E28" s="13">
        <f>Metabolites!H174</f>
        <v>15</v>
      </c>
      <c r="F28" s="13">
        <f>Metabolites!I174</f>
        <v>2</v>
      </c>
      <c r="G28" s="13">
        <f>Metabolites!J174</f>
        <v>2</v>
      </c>
      <c r="H28" s="13">
        <f>Metabolites!K174</f>
        <v>0</v>
      </c>
      <c r="I28" s="13">
        <f>Metabolites!L174</f>
        <v>0</v>
      </c>
      <c r="J28" s="13">
        <f>Metabolites!M174</f>
        <v>28</v>
      </c>
      <c r="K28" s="13">
        <f t="shared" si="3"/>
        <v>147.19999999999999</v>
      </c>
      <c r="L28" s="13">
        <f t="shared" si="4"/>
        <v>6.1</v>
      </c>
      <c r="M28" s="13">
        <f t="shared" si="5"/>
        <v>897.91999999999985</v>
      </c>
      <c r="N28" s="13">
        <f t="shared" si="6"/>
        <v>36.599999999999994</v>
      </c>
      <c r="O28" s="13">
        <f t="shared" si="7"/>
        <v>91.5</v>
      </c>
      <c r="P28" s="13">
        <f t="shared" si="8"/>
        <v>12.2</v>
      </c>
      <c r="Q28" s="13">
        <f t="shared" si="9"/>
        <v>12.2</v>
      </c>
      <c r="R28" s="13">
        <f t="shared" si="10"/>
        <v>0</v>
      </c>
      <c r="S28" s="13">
        <f t="shared" si="11"/>
        <v>0</v>
      </c>
      <c r="T28" s="13">
        <f t="shared" si="12"/>
        <v>170.79999999999998</v>
      </c>
      <c r="U28" s="5" t="s">
        <v>1745</v>
      </c>
      <c r="V28" s="5">
        <v>299</v>
      </c>
      <c r="W28" s="5" t="s">
        <v>1764</v>
      </c>
    </row>
    <row r="29" spans="1:24" x14ac:dyDescent="0.25">
      <c r="B29" s="5" t="s">
        <v>1057</v>
      </c>
      <c r="C29" s="13" t="str">
        <f>Metabolites!F172</f>
        <v>C6H13NO2</v>
      </c>
      <c r="D29" s="13">
        <f>Metabolites!G172</f>
        <v>6</v>
      </c>
      <c r="E29" s="13">
        <f>Metabolites!H172</f>
        <v>13</v>
      </c>
      <c r="F29" s="13">
        <f>Metabolites!I172</f>
        <v>1</v>
      </c>
      <c r="G29" s="13">
        <f>Metabolites!J172</f>
        <v>2</v>
      </c>
      <c r="H29" s="13">
        <f>Metabolites!K172</f>
        <v>0</v>
      </c>
      <c r="I29" s="13">
        <f>Metabolites!L172</f>
        <v>0</v>
      </c>
      <c r="J29" s="13">
        <f>Metabolites!M172</f>
        <v>30</v>
      </c>
      <c r="K29" s="13">
        <f t="shared" si="3"/>
        <v>131.17400000000001</v>
      </c>
      <c r="L29" s="13">
        <f t="shared" si="4"/>
        <v>11</v>
      </c>
      <c r="M29" s="13">
        <f t="shared" si="5"/>
        <v>1442.914</v>
      </c>
      <c r="N29" s="13">
        <f t="shared" si="6"/>
        <v>66</v>
      </c>
      <c r="O29" s="13">
        <f t="shared" si="7"/>
        <v>143</v>
      </c>
      <c r="P29" s="13">
        <f t="shared" si="8"/>
        <v>11</v>
      </c>
      <c r="Q29" s="13">
        <f t="shared" si="9"/>
        <v>22</v>
      </c>
      <c r="R29" s="13">
        <f t="shared" si="10"/>
        <v>0</v>
      </c>
      <c r="S29" s="13">
        <f t="shared" si="11"/>
        <v>0</v>
      </c>
      <c r="T29" s="13">
        <f t="shared" si="12"/>
        <v>330</v>
      </c>
      <c r="U29" s="5" t="s">
        <v>1746</v>
      </c>
      <c r="V29" s="5"/>
      <c r="W29" s="5" t="s">
        <v>1735</v>
      </c>
    </row>
    <row r="30" spans="1:24" x14ac:dyDescent="0.25">
      <c r="B30" s="5" t="s">
        <v>1065</v>
      </c>
      <c r="C30" s="13" t="str">
        <f>Metabolites!F177</f>
        <v>C5H11NO2S</v>
      </c>
      <c r="D30" s="13">
        <f>Metabolites!G177</f>
        <v>5</v>
      </c>
      <c r="E30" s="13">
        <f>Metabolites!H177</f>
        <v>11</v>
      </c>
      <c r="F30" s="13">
        <f>Metabolites!I177</f>
        <v>1</v>
      </c>
      <c r="G30" s="13">
        <f>Metabolites!J177</f>
        <v>2</v>
      </c>
      <c r="H30" s="13">
        <f>Metabolites!K177</f>
        <v>0</v>
      </c>
      <c r="I30" s="13">
        <f>Metabolites!L177</f>
        <v>1</v>
      </c>
      <c r="J30" s="13">
        <f>Metabolites!M177</f>
        <v>22</v>
      </c>
      <c r="K30" s="13">
        <f t="shared" si="3"/>
        <v>149.21800000000002</v>
      </c>
      <c r="L30" s="13">
        <f t="shared" si="4"/>
        <v>2.4</v>
      </c>
      <c r="M30" s="13">
        <f t="shared" si="5"/>
        <v>358.12320000000005</v>
      </c>
      <c r="N30" s="13">
        <f t="shared" si="6"/>
        <v>12</v>
      </c>
      <c r="O30" s="13">
        <f t="shared" si="7"/>
        <v>26.4</v>
      </c>
      <c r="P30" s="13">
        <f t="shared" si="8"/>
        <v>2.4</v>
      </c>
      <c r="Q30" s="13">
        <f t="shared" si="9"/>
        <v>4.8</v>
      </c>
      <c r="R30" s="13">
        <f t="shared" si="10"/>
        <v>0</v>
      </c>
      <c r="S30" s="13">
        <f t="shared" si="11"/>
        <v>2.4</v>
      </c>
      <c r="T30" s="13">
        <f t="shared" si="12"/>
        <v>52.8</v>
      </c>
      <c r="U30" s="5" t="s">
        <v>1747</v>
      </c>
      <c r="V30" s="5"/>
      <c r="W30" s="5" t="s">
        <v>1736</v>
      </c>
    </row>
    <row r="31" spans="1:24" x14ac:dyDescent="0.25">
      <c r="B31" s="5" t="s">
        <v>1577</v>
      </c>
      <c r="C31" s="13" t="str">
        <f>Metabolites!F150</f>
        <v>C4H8N2O3</v>
      </c>
      <c r="D31" s="13">
        <f>Metabolites!G150</f>
        <v>4</v>
      </c>
      <c r="E31" s="13">
        <f>Metabolites!H150</f>
        <v>8</v>
      </c>
      <c r="F31" s="13">
        <f>Metabolites!I150</f>
        <v>2</v>
      </c>
      <c r="G31" s="13">
        <f>Metabolites!J150</f>
        <v>3</v>
      </c>
      <c r="H31" s="13">
        <f>Metabolites!K150</f>
        <v>0</v>
      </c>
      <c r="I31" s="13">
        <f>Metabolites!L150</f>
        <v>0</v>
      </c>
      <c r="J31" s="13">
        <f>Metabolites!M150</f>
        <v>12</v>
      </c>
      <c r="K31" s="13">
        <f t="shared" si="3"/>
        <v>132.124</v>
      </c>
      <c r="L31" s="13">
        <f t="shared" si="4"/>
        <v>3.6</v>
      </c>
      <c r="M31" s="13">
        <f t="shared" si="5"/>
        <v>475.64639999999997</v>
      </c>
      <c r="N31" s="13">
        <f t="shared" si="6"/>
        <v>14.4</v>
      </c>
      <c r="O31" s="13">
        <f t="shared" si="7"/>
        <v>28.8</v>
      </c>
      <c r="P31" s="13">
        <f t="shared" si="8"/>
        <v>7.2</v>
      </c>
      <c r="Q31" s="13">
        <f t="shared" si="9"/>
        <v>10.8</v>
      </c>
      <c r="R31" s="13">
        <f t="shared" si="10"/>
        <v>0</v>
      </c>
      <c r="S31" s="13">
        <f t="shared" si="11"/>
        <v>0</v>
      </c>
      <c r="T31" s="13">
        <f t="shared" si="12"/>
        <v>43.2</v>
      </c>
      <c r="U31" s="5" t="s">
        <v>1748</v>
      </c>
      <c r="V31" s="5"/>
      <c r="W31" s="13" t="s">
        <v>1774</v>
      </c>
    </row>
    <row r="32" spans="1:24" x14ac:dyDescent="0.25">
      <c r="B32" s="5" t="s">
        <v>1071</v>
      </c>
      <c r="C32" s="13" t="str">
        <f>Metabolites!F181</f>
        <v>C5H9NO2</v>
      </c>
      <c r="D32" s="13">
        <f>Metabolites!G181</f>
        <v>5</v>
      </c>
      <c r="E32" s="13">
        <f>Metabolites!H181</f>
        <v>9</v>
      </c>
      <c r="F32" s="13">
        <f>Metabolites!I181</f>
        <v>1</v>
      </c>
      <c r="G32" s="13">
        <f>Metabolites!J181</f>
        <v>2</v>
      </c>
      <c r="H32" s="13">
        <f>Metabolites!K181</f>
        <v>0</v>
      </c>
      <c r="I32" s="13">
        <f>Metabolites!L181</f>
        <v>0</v>
      </c>
      <c r="J32" s="13">
        <f>Metabolites!M181</f>
        <v>22</v>
      </c>
      <c r="K32" s="13">
        <f t="shared" si="3"/>
        <v>115.13200000000001</v>
      </c>
      <c r="L32" s="13">
        <f t="shared" si="4"/>
        <v>4.3</v>
      </c>
      <c r="M32" s="13">
        <f t="shared" si="5"/>
        <v>495.06760000000003</v>
      </c>
      <c r="N32" s="13">
        <f t="shared" si="6"/>
        <v>21.5</v>
      </c>
      <c r="O32" s="13">
        <f t="shared" si="7"/>
        <v>38.699999999999996</v>
      </c>
      <c r="P32" s="13">
        <f t="shared" si="8"/>
        <v>4.3</v>
      </c>
      <c r="Q32" s="13">
        <f t="shared" si="9"/>
        <v>8.6</v>
      </c>
      <c r="R32" s="13">
        <f t="shared" si="10"/>
        <v>0</v>
      </c>
      <c r="S32" s="13">
        <f t="shared" si="11"/>
        <v>0</v>
      </c>
      <c r="T32" s="13">
        <f t="shared" si="12"/>
        <v>94.6</v>
      </c>
      <c r="U32" s="5" t="s">
        <v>1749</v>
      </c>
      <c r="V32" s="5"/>
      <c r="W32" s="5"/>
    </row>
    <row r="33" spans="1:23" x14ac:dyDescent="0.25">
      <c r="B33" s="5" t="s">
        <v>1587</v>
      </c>
      <c r="C33" s="13" t="str">
        <f>Metabolites!F160</f>
        <v>C5H10N2O3</v>
      </c>
      <c r="D33" s="13">
        <f>Metabolites!G160</f>
        <v>5</v>
      </c>
      <c r="E33" s="13">
        <f>Metabolites!H160</f>
        <v>10</v>
      </c>
      <c r="F33" s="13">
        <f>Metabolites!I160</f>
        <v>2</v>
      </c>
      <c r="G33" s="13">
        <f>Metabolites!J160</f>
        <v>3</v>
      </c>
      <c r="H33" s="13">
        <f>Metabolites!K160</f>
        <v>0</v>
      </c>
      <c r="I33" s="13">
        <f>Metabolites!L160</f>
        <v>0</v>
      </c>
      <c r="J33" s="13">
        <f>Metabolites!M160</f>
        <v>18</v>
      </c>
      <c r="K33" s="13">
        <f t="shared" si="3"/>
        <v>146.14999999999998</v>
      </c>
      <c r="L33" s="13">
        <f t="shared" si="4"/>
        <v>2.2999999999999998</v>
      </c>
      <c r="M33" s="13">
        <f t="shared" si="5"/>
        <v>336.14499999999992</v>
      </c>
      <c r="N33" s="13">
        <f t="shared" si="6"/>
        <v>11.5</v>
      </c>
      <c r="O33" s="13">
        <f t="shared" si="7"/>
        <v>23</v>
      </c>
      <c r="P33" s="13">
        <f t="shared" si="8"/>
        <v>4.5999999999999996</v>
      </c>
      <c r="Q33" s="13">
        <f t="shared" si="9"/>
        <v>6.8999999999999995</v>
      </c>
      <c r="R33" s="13">
        <f t="shared" si="10"/>
        <v>0</v>
      </c>
      <c r="S33" s="13">
        <f t="shared" si="11"/>
        <v>0</v>
      </c>
      <c r="T33" s="13">
        <f t="shared" si="12"/>
        <v>41.4</v>
      </c>
      <c r="U33" s="5" t="s">
        <v>1750</v>
      </c>
      <c r="V33" s="5"/>
      <c r="W33" s="5"/>
    </row>
    <row r="34" spans="1:23" x14ac:dyDescent="0.25">
      <c r="B34" s="5" t="s">
        <v>1571</v>
      </c>
      <c r="C34" s="13" t="str">
        <f>Metabolites!F147</f>
        <v>C6H15N4O2</v>
      </c>
      <c r="D34" s="13">
        <f>Metabolites!G147</f>
        <v>6</v>
      </c>
      <c r="E34" s="13">
        <f>Metabolites!H147</f>
        <v>15</v>
      </c>
      <c r="F34" s="13">
        <f>Metabolites!I147</f>
        <v>4</v>
      </c>
      <c r="G34" s="13">
        <f>Metabolites!J147</f>
        <v>2</v>
      </c>
      <c r="H34" s="13">
        <f>Metabolites!K147</f>
        <v>0</v>
      </c>
      <c r="I34" s="13">
        <f>Metabolites!L147</f>
        <v>0</v>
      </c>
      <c r="J34" s="13">
        <f>Metabolites!M147</f>
        <v>22</v>
      </c>
      <c r="K34" s="13">
        <f t="shared" si="3"/>
        <v>175.22</v>
      </c>
      <c r="L34" s="13">
        <f t="shared" si="4"/>
        <v>6.3</v>
      </c>
      <c r="M34" s="13">
        <f t="shared" si="5"/>
        <v>1103.886</v>
      </c>
      <c r="N34" s="13">
        <f t="shared" si="6"/>
        <v>37.799999999999997</v>
      </c>
      <c r="O34" s="13">
        <f t="shared" si="7"/>
        <v>94.5</v>
      </c>
      <c r="P34" s="13">
        <f t="shared" si="8"/>
        <v>25.2</v>
      </c>
      <c r="Q34" s="13">
        <f t="shared" si="9"/>
        <v>12.6</v>
      </c>
      <c r="R34" s="13">
        <f t="shared" si="10"/>
        <v>0</v>
      </c>
      <c r="S34" s="13">
        <f t="shared" si="11"/>
        <v>0</v>
      </c>
      <c r="T34" s="13">
        <f t="shared" si="12"/>
        <v>138.6</v>
      </c>
      <c r="U34" s="5" t="s">
        <v>1751</v>
      </c>
      <c r="V34" s="5"/>
      <c r="W34" s="5"/>
    </row>
    <row r="35" spans="1:23" x14ac:dyDescent="0.25">
      <c r="B35" s="5" t="s">
        <v>1074</v>
      </c>
      <c r="C35" s="13" t="str">
        <f>Metabolites!F183</f>
        <v>C3H7NO3</v>
      </c>
      <c r="D35" s="13">
        <f>Metabolites!G183</f>
        <v>3</v>
      </c>
      <c r="E35" s="13">
        <f>Metabolites!H183</f>
        <v>7</v>
      </c>
      <c r="F35" s="13">
        <f>Metabolites!I183</f>
        <v>1</v>
      </c>
      <c r="G35" s="13">
        <f>Metabolites!J183</f>
        <v>3</v>
      </c>
      <c r="H35" s="13">
        <f>Metabolites!K183</f>
        <v>0</v>
      </c>
      <c r="I35" s="13">
        <f>Metabolites!L183</f>
        <v>0</v>
      </c>
      <c r="J35" s="13">
        <f>Metabolites!M183</f>
        <v>10</v>
      </c>
      <c r="K35" s="13">
        <f t="shared" si="3"/>
        <v>105.096</v>
      </c>
      <c r="L35" s="13">
        <f t="shared" si="4"/>
        <v>7</v>
      </c>
      <c r="M35" s="13">
        <f t="shared" si="5"/>
        <v>735.67200000000003</v>
      </c>
      <c r="N35" s="13">
        <f t="shared" si="6"/>
        <v>21</v>
      </c>
      <c r="O35" s="13">
        <f t="shared" si="7"/>
        <v>49</v>
      </c>
      <c r="P35" s="13">
        <f t="shared" si="8"/>
        <v>7</v>
      </c>
      <c r="Q35" s="13">
        <f t="shared" si="9"/>
        <v>21</v>
      </c>
      <c r="R35" s="13">
        <f t="shared" si="10"/>
        <v>0</v>
      </c>
      <c r="S35" s="13">
        <f t="shared" si="11"/>
        <v>0</v>
      </c>
      <c r="T35" s="13">
        <f t="shared" si="12"/>
        <v>70</v>
      </c>
      <c r="U35" s="5" t="s">
        <v>1752</v>
      </c>
      <c r="V35" s="5">
        <v>99</v>
      </c>
      <c r="W35" s="5"/>
    </row>
    <row r="36" spans="1:23" x14ac:dyDescent="0.25">
      <c r="B36" s="5" t="s">
        <v>1077</v>
      </c>
      <c r="C36" s="13" t="str">
        <f>Metabolites!F185</f>
        <v>C4H9NO3</v>
      </c>
      <c r="D36" s="13">
        <f>Metabolites!G185</f>
        <v>4</v>
      </c>
      <c r="E36" s="13">
        <f>Metabolites!H185</f>
        <v>9</v>
      </c>
      <c r="F36" s="13">
        <f>Metabolites!I185</f>
        <v>1</v>
      </c>
      <c r="G36" s="13">
        <f>Metabolites!J185</f>
        <v>3</v>
      </c>
      <c r="H36" s="13">
        <f>Metabolites!K185</f>
        <v>0</v>
      </c>
      <c r="I36" s="13">
        <f>Metabolites!L185</f>
        <v>0</v>
      </c>
      <c r="J36" s="13">
        <f>Metabolites!M185</f>
        <v>16</v>
      </c>
      <c r="K36" s="13">
        <f t="shared" si="3"/>
        <v>119.122</v>
      </c>
      <c r="L36" s="13">
        <f t="shared" si="4"/>
        <v>4.9000000000000004</v>
      </c>
      <c r="M36" s="13">
        <f t="shared" si="5"/>
        <v>583.69780000000003</v>
      </c>
      <c r="N36" s="13">
        <f t="shared" si="6"/>
        <v>19.600000000000001</v>
      </c>
      <c r="O36" s="13">
        <f t="shared" si="7"/>
        <v>44.1</v>
      </c>
      <c r="P36" s="13">
        <f t="shared" si="8"/>
        <v>4.9000000000000004</v>
      </c>
      <c r="Q36" s="13">
        <f t="shared" si="9"/>
        <v>14.700000000000001</v>
      </c>
      <c r="R36" s="13">
        <f t="shared" si="10"/>
        <v>0</v>
      </c>
      <c r="S36" s="13">
        <f t="shared" si="11"/>
        <v>0</v>
      </c>
      <c r="T36" s="13">
        <f t="shared" si="12"/>
        <v>78.400000000000006</v>
      </c>
      <c r="U36" s="5" t="s">
        <v>1753</v>
      </c>
      <c r="V36" s="5"/>
      <c r="W36" s="5"/>
    </row>
    <row r="37" spans="1:23" x14ac:dyDescent="0.25">
      <c r="B37" s="5" t="s">
        <v>1085</v>
      </c>
      <c r="C37" s="13" t="str">
        <f>Metabolites!F191</f>
        <v>C5H11NO2</v>
      </c>
      <c r="D37" s="13">
        <f>Metabolites!G191</f>
        <v>5</v>
      </c>
      <c r="E37" s="13">
        <f>Metabolites!H191</f>
        <v>11</v>
      </c>
      <c r="F37" s="13">
        <f>Metabolites!I191</f>
        <v>1</v>
      </c>
      <c r="G37" s="13">
        <f>Metabolites!J191</f>
        <v>2</v>
      </c>
      <c r="H37" s="13">
        <f>Metabolites!K191</f>
        <v>0</v>
      </c>
      <c r="I37" s="13">
        <f>Metabolites!L191</f>
        <v>0</v>
      </c>
      <c r="J37" s="13">
        <f>Metabolites!M191</f>
        <v>24</v>
      </c>
      <c r="K37" s="13">
        <f t="shared" si="3"/>
        <v>117.14800000000001</v>
      </c>
      <c r="L37" s="13">
        <f t="shared" si="4"/>
        <v>9.1</v>
      </c>
      <c r="M37" s="13">
        <f t="shared" si="5"/>
        <v>1066.0468000000001</v>
      </c>
      <c r="N37" s="13">
        <f t="shared" si="6"/>
        <v>45.5</v>
      </c>
      <c r="O37" s="13">
        <f t="shared" si="7"/>
        <v>100.1</v>
      </c>
      <c r="P37" s="13">
        <f t="shared" si="8"/>
        <v>9.1</v>
      </c>
      <c r="Q37" s="13">
        <f t="shared" si="9"/>
        <v>18.2</v>
      </c>
      <c r="R37" s="13">
        <f t="shared" si="10"/>
        <v>0</v>
      </c>
      <c r="S37" s="13">
        <f t="shared" si="11"/>
        <v>0</v>
      </c>
      <c r="T37" s="13">
        <f t="shared" si="12"/>
        <v>218.39999999999998</v>
      </c>
      <c r="U37" s="5" t="s">
        <v>1754</v>
      </c>
      <c r="V37" s="5"/>
      <c r="W37" s="5"/>
    </row>
    <row r="38" spans="1:23" x14ac:dyDescent="0.25">
      <c r="B38" s="5" t="s">
        <v>1079</v>
      </c>
      <c r="C38" s="13" t="str">
        <f>Metabolites!F187</f>
        <v>C11H12N2O2</v>
      </c>
      <c r="D38" s="13">
        <f>Metabolites!G187</f>
        <v>11</v>
      </c>
      <c r="E38" s="13">
        <f>Metabolites!H187</f>
        <v>12</v>
      </c>
      <c r="F38" s="13">
        <f>Metabolites!I187</f>
        <v>2</v>
      </c>
      <c r="G38" s="13">
        <f>Metabolites!J187</f>
        <v>2</v>
      </c>
      <c r="H38" s="13">
        <f>Metabolites!K187</f>
        <v>0</v>
      </c>
      <c r="I38" s="13">
        <f>Metabolites!L187</f>
        <v>0</v>
      </c>
      <c r="J38" s="13">
        <f>Metabolites!M187</f>
        <v>46</v>
      </c>
      <c r="K38" s="13">
        <f t="shared" si="3"/>
        <v>204.226</v>
      </c>
      <c r="L38" s="13">
        <f t="shared" si="4"/>
        <v>1.2</v>
      </c>
      <c r="M38" s="13">
        <f t="shared" si="5"/>
        <v>245.07119999999998</v>
      </c>
      <c r="N38" s="13">
        <f t="shared" si="6"/>
        <v>13.2</v>
      </c>
      <c r="O38" s="13">
        <f t="shared" si="7"/>
        <v>14.399999999999999</v>
      </c>
      <c r="P38" s="13">
        <f t="shared" si="8"/>
        <v>2.4</v>
      </c>
      <c r="Q38" s="13">
        <f t="shared" si="9"/>
        <v>2.4</v>
      </c>
      <c r="R38" s="13">
        <f t="shared" si="10"/>
        <v>0</v>
      </c>
      <c r="S38" s="13">
        <f t="shared" si="11"/>
        <v>0</v>
      </c>
      <c r="T38" s="13">
        <f t="shared" si="12"/>
        <v>55.199999999999996</v>
      </c>
      <c r="U38" s="5" t="s">
        <v>1755</v>
      </c>
      <c r="V38" s="5"/>
      <c r="W38" s="5"/>
    </row>
    <row r="39" spans="1:23" x14ac:dyDescent="0.25">
      <c r="B39" s="5" t="s">
        <v>1082</v>
      </c>
      <c r="C39" s="13" t="str">
        <f>Metabolites!F189</f>
        <v>C9H11NO3</v>
      </c>
      <c r="D39" s="13">
        <f>Metabolites!G189</f>
        <v>9</v>
      </c>
      <c r="E39" s="13">
        <f>Metabolites!H189</f>
        <v>11</v>
      </c>
      <c r="F39" s="13">
        <f>Metabolites!I189</f>
        <v>1</v>
      </c>
      <c r="G39" s="13">
        <f>Metabolites!J189</f>
        <v>3</v>
      </c>
      <c r="H39" s="13">
        <f>Metabolites!K189</f>
        <v>0</v>
      </c>
      <c r="I39" s="13">
        <f>Metabolites!L189</f>
        <v>0</v>
      </c>
      <c r="J39" s="13">
        <f>Metabolites!M189</f>
        <v>38</v>
      </c>
      <c r="K39" s="13">
        <f t="shared" si="3"/>
        <v>181.18799999999999</v>
      </c>
      <c r="L39" s="13">
        <f>E88</f>
        <v>3.9</v>
      </c>
      <c r="M39" s="13">
        <f t="shared" si="5"/>
        <v>706.63319999999999</v>
      </c>
      <c r="N39" s="13">
        <f t="shared" si="6"/>
        <v>35.1</v>
      </c>
      <c r="O39" s="13">
        <f t="shared" si="7"/>
        <v>42.9</v>
      </c>
      <c r="P39" s="13">
        <f t="shared" si="8"/>
        <v>3.9</v>
      </c>
      <c r="Q39" s="13">
        <f t="shared" si="9"/>
        <v>11.7</v>
      </c>
      <c r="R39" s="13">
        <f t="shared" si="10"/>
        <v>0</v>
      </c>
      <c r="S39" s="13">
        <f t="shared" si="11"/>
        <v>0</v>
      </c>
      <c r="T39" s="13">
        <f t="shared" si="12"/>
        <v>148.19999999999999</v>
      </c>
      <c r="U39" s="5" t="s">
        <v>1756</v>
      </c>
      <c r="V39" s="5"/>
      <c r="W39" s="5"/>
    </row>
    <row r="40" spans="1:23" x14ac:dyDescent="0.25">
      <c r="B40" s="5" t="s">
        <v>1543</v>
      </c>
      <c r="C40" s="13" t="s">
        <v>1543</v>
      </c>
      <c r="E40" s="13">
        <v>2</v>
      </c>
      <c r="G40" s="13">
        <v>1</v>
      </c>
      <c r="K40" s="13">
        <v>18</v>
      </c>
      <c r="L40" s="13">
        <v>-99</v>
      </c>
      <c r="M40" s="13">
        <f t="shared" si="5"/>
        <v>-1782</v>
      </c>
      <c r="N40" s="13">
        <f>D40*$L40</f>
        <v>0</v>
      </c>
      <c r="O40" s="13">
        <f>E40*L40</f>
        <v>-198</v>
      </c>
      <c r="P40" s="13">
        <f>F40*L40</f>
        <v>0</v>
      </c>
      <c r="Q40" s="13">
        <f>G40*L40</f>
        <v>-99</v>
      </c>
      <c r="R40" s="13">
        <f>H40*L40</f>
        <v>0</v>
      </c>
      <c r="S40" s="13">
        <f>I40*L40</f>
        <v>0</v>
      </c>
      <c r="T40" s="13">
        <f>J40*L40</f>
        <v>0</v>
      </c>
      <c r="U40" s="5" t="s">
        <v>1543</v>
      </c>
      <c r="V40" s="5"/>
      <c r="W40" s="5"/>
    </row>
    <row r="41" spans="1:23" x14ac:dyDescent="0.25">
      <c r="L41" s="13">
        <f>SUM(L20:L39)</f>
        <v>100.30000000000001</v>
      </c>
      <c r="M41" s="13">
        <f>SUM(M20:M40)</f>
        <v>11286.147600000002</v>
      </c>
      <c r="N41" s="13">
        <f t="shared" ref="N41:T41" si="13">SUM(N20:N40)</f>
        <v>509.5</v>
      </c>
      <c r="O41" s="13">
        <f t="shared" si="13"/>
        <v>812.19999999999993</v>
      </c>
      <c r="P41" s="13">
        <f t="shared" si="13"/>
        <v>135.40000000000003</v>
      </c>
      <c r="Q41" s="13">
        <f t="shared" si="13"/>
        <v>146.89999999999998</v>
      </c>
      <c r="R41" s="13">
        <f t="shared" si="13"/>
        <v>0</v>
      </c>
      <c r="S41" s="13">
        <f t="shared" si="13"/>
        <v>3.0999999999999996</v>
      </c>
      <c r="T41" s="13">
        <f t="shared" si="13"/>
        <v>2143.4</v>
      </c>
    </row>
    <row r="42" spans="1:23" x14ac:dyDescent="0.25">
      <c r="A42" s="5"/>
    </row>
    <row r="43" spans="1:23" x14ac:dyDescent="0.25">
      <c r="A43" s="13" t="s">
        <v>1710</v>
      </c>
      <c r="U43" s="5"/>
      <c r="V43" s="5"/>
      <c r="W43" s="5"/>
    </row>
    <row r="44" spans="1:23" x14ac:dyDescent="0.25">
      <c r="K44" s="22" t="s">
        <v>1709</v>
      </c>
      <c r="M44" s="13" t="s">
        <v>1708</v>
      </c>
      <c r="U44" s="5"/>
      <c r="V44" s="5"/>
      <c r="W44" s="5"/>
    </row>
    <row r="45" spans="1:23" x14ac:dyDescent="0.25">
      <c r="A45" s="13" t="s">
        <v>1462</v>
      </c>
      <c r="K45" s="13">
        <f>M7</f>
        <v>306.92707999999999</v>
      </c>
      <c r="L45" s="13">
        <f>ROUND(M45*1000/K45,3)</f>
        <v>6.5000000000000002E-2</v>
      </c>
      <c r="M45" s="13">
        <v>0.02</v>
      </c>
      <c r="N45" s="13">
        <f t="shared" ref="N45:T45" si="14">N7</f>
        <v>9.76</v>
      </c>
      <c r="O45" s="13">
        <f t="shared" si="14"/>
        <v>10.259999999999998</v>
      </c>
      <c r="P45" s="13">
        <f t="shared" si="14"/>
        <v>3.74</v>
      </c>
      <c r="Q45" s="13">
        <f t="shared" si="14"/>
        <v>6</v>
      </c>
      <c r="R45" s="13">
        <f t="shared" si="14"/>
        <v>1</v>
      </c>
      <c r="S45" s="13">
        <f t="shared" si="14"/>
        <v>0</v>
      </c>
      <c r="T45" s="13">
        <f t="shared" si="14"/>
        <v>37.300000000000004</v>
      </c>
      <c r="U45" s="13" t="s">
        <v>1950</v>
      </c>
    </row>
    <row r="46" spans="1:23" x14ac:dyDescent="0.25">
      <c r="A46" s="13" t="s">
        <v>1707</v>
      </c>
      <c r="K46" s="13">
        <f>M14</f>
        <v>318.03894000000003</v>
      </c>
      <c r="L46" s="13">
        <f>ROUND(M46*1000/K46,3)</f>
        <v>0.503</v>
      </c>
      <c r="M46" s="13">
        <v>0.16</v>
      </c>
      <c r="N46" s="13">
        <f t="shared" ref="N46:T46" si="15">N14</f>
        <v>9.43</v>
      </c>
      <c r="O46" s="13">
        <f t="shared" si="15"/>
        <v>9.7799999999999994</v>
      </c>
      <c r="P46" s="13">
        <f t="shared" si="15"/>
        <v>3.64</v>
      </c>
      <c r="Q46" s="13">
        <f t="shared" si="15"/>
        <v>7.0600000000000005</v>
      </c>
      <c r="R46" s="13">
        <f t="shared" si="15"/>
        <v>1</v>
      </c>
      <c r="S46" s="13">
        <f t="shared" si="15"/>
        <v>0</v>
      </c>
      <c r="T46" s="13">
        <f t="shared" si="15"/>
        <v>29.46</v>
      </c>
      <c r="U46" s="13" t="s">
        <v>1914</v>
      </c>
    </row>
    <row r="47" spans="1:23" x14ac:dyDescent="0.25">
      <c r="A47" s="13" t="s">
        <v>1706</v>
      </c>
      <c r="K47" s="13">
        <f>M16</f>
        <v>1458.1599999999999</v>
      </c>
      <c r="L47" s="13">
        <f>ROUND(M47*1000/K47,3)</f>
        <v>7.4999999999999997E-2</v>
      </c>
      <c r="M47" s="13">
        <v>0.11</v>
      </c>
      <c r="N47" s="13">
        <f>N16</f>
        <v>86</v>
      </c>
      <c r="O47" s="13">
        <f t="shared" ref="O47:T47" si="16">O16</f>
        <v>170</v>
      </c>
      <c r="P47" s="13">
        <f t="shared" si="16"/>
        <v>0</v>
      </c>
      <c r="Q47" s="13">
        <f t="shared" si="16"/>
        <v>12</v>
      </c>
      <c r="R47" s="13">
        <f t="shared" si="16"/>
        <v>2</v>
      </c>
      <c r="S47" s="13">
        <f t="shared" si="16"/>
        <v>0</v>
      </c>
      <c r="T47" s="13">
        <f t="shared" si="16"/>
        <v>504</v>
      </c>
      <c r="U47" s="13" t="s">
        <v>2155</v>
      </c>
    </row>
    <row r="48" spans="1:23" x14ac:dyDescent="0.25">
      <c r="A48" s="13" t="s">
        <v>1705</v>
      </c>
      <c r="K48" s="13">
        <f>M18</f>
        <v>342.29599999999999</v>
      </c>
      <c r="L48" s="13">
        <f>ROUND(M48*1000/K48,3)</f>
        <v>0.32100000000000001</v>
      </c>
      <c r="M48" s="13">
        <v>0.11</v>
      </c>
      <c r="N48" s="13">
        <f t="shared" ref="N48:T48" si="17">N18</f>
        <v>12</v>
      </c>
      <c r="O48" s="13">
        <f t="shared" si="17"/>
        <v>22</v>
      </c>
      <c r="P48" s="13">
        <f t="shared" si="17"/>
        <v>0</v>
      </c>
      <c r="Q48" s="13">
        <f t="shared" si="17"/>
        <v>11</v>
      </c>
      <c r="R48" s="13">
        <f t="shared" si="17"/>
        <v>0</v>
      </c>
      <c r="S48" s="13">
        <f t="shared" si="17"/>
        <v>0</v>
      </c>
      <c r="T48" s="13">
        <f t="shared" si="17"/>
        <v>48</v>
      </c>
      <c r="U48" s="13" t="s">
        <v>1915</v>
      </c>
    </row>
    <row r="49" spans="1:21" x14ac:dyDescent="0.25">
      <c r="A49" s="13" t="s">
        <v>1704</v>
      </c>
      <c r="K49" s="13">
        <f>M41</f>
        <v>11286.147600000002</v>
      </c>
      <c r="L49" s="13">
        <f>ROUND(M49*1000/K49,3)</f>
        <v>5.2999999999999999E-2</v>
      </c>
      <c r="M49" s="13">
        <f>1-SUM(M45:M48)</f>
        <v>0.60000000000000009</v>
      </c>
      <c r="N49" s="13">
        <f t="shared" ref="N49:T49" si="18">N41</f>
        <v>509.5</v>
      </c>
      <c r="O49" s="13">
        <f t="shared" si="18"/>
        <v>812.19999999999993</v>
      </c>
      <c r="P49" s="13">
        <f t="shared" si="18"/>
        <v>135.40000000000003</v>
      </c>
      <c r="Q49" s="13">
        <f t="shared" si="18"/>
        <v>146.89999999999998</v>
      </c>
      <c r="R49" s="13">
        <f t="shared" si="18"/>
        <v>0</v>
      </c>
      <c r="S49" s="13">
        <f t="shared" si="18"/>
        <v>3.0999999999999996</v>
      </c>
      <c r="T49" s="13">
        <f t="shared" si="18"/>
        <v>2143.4</v>
      </c>
      <c r="U49" s="13" t="s">
        <v>1916</v>
      </c>
    </row>
    <row r="50" spans="1:21" x14ac:dyDescent="0.25">
      <c r="J50" s="13" t="s">
        <v>1703</v>
      </c>
      <c r="N50" s="13">
        <f>(N45*$L$45)+(N46*$L$46)+(N47*$L$47)+(N48*$L$48)+(N49*$L$49)</f>
        <v>42.683189999999996</v>
      </c>
      <c r="O50" s="13">
        <f t="shared" ref="O50:T50" si="19">(O45*$L$45)+(O46*$L$46)+(O47*$L$47)+(O48*$L$48)+(O49*$L$49)</f>
        <v>68.444839999999999</v>
      </c>
      <c r="P50" s="13">
        <f t="shared" si="19"/>
        <v>9.2502200000000023</v>
      </c>
      <c r="Q50" s="13">
        <f t="shared" si="19"/>
        <v>16.157879999999999</v>
      </c>
      <c r="R50" s="13">
        <f t="shared" si="19"/>
        <v>0.71800000000000008</v>
      </c>
      <c r="S50" s="13">
        <f t="shared" si="19"/>
        <v>0.16429999999999997</v>
      </c>
      <c r="T50" s="13">
        <f t="shared" si="19"/>
        <v>184.05108000000001</v>
      </c>
    </row>
    <row r="51" spans="1:21" x14ac:dyDescent="0.25">
      <c r="L51" s="13" t="s">
        <v>1702</v>
      </c>
      <c r="N51" s="13">
        <f>N50*0.48</f>
        <v>20.487931199999998</v>
      </c>
      <c r="U51" s="13" t="s">
        <v>1917</v>
      </c>
    </row>
    <row r="52" spans="1:21" x14ac:dyDescent="0.25">
      <c r="T52" s="13">
        <f>ROUND((L49*33)+L47+L48,3)</f>
        <v>2.145</v>
      </c>
      <c r="U52" s="13" t="s">
        <v>1904</v>
      </c>
    </row>
    <row r="53" spans="1:21" x14ac:dyDescent="0.25">
      <c r="A53" s="21" t="s">
        <v>1734</v>
      </c>
      <c r="B53" s="19">
        <v>2817452</v>
      </c>
      <c r="C53" s="20"/>
      <c r="E53" s="16" t="s">
        <v>1686</v>
      </c>
      <c r="F53" s="17">
        <f>C55/2</f>
        <v>0.2379</v>
      </c>
      <c r="G53" s="16">
        <f>ROUND(F53,2)</f>
        <v>0.24</v>
      </c>
    </row>
    <row r="54" spans="1:21" x14ac:dyDescent="0.25">
      <c r="A54" s="19"/>
      <c r="B54" s="19"/>
      <c r="C54" s="20"/>
      <c r="E54" s="16" t="s">
        <v>1684</v>
      </c>
      <c r="F54" s="17">
        <f>C55/2</f>
        <v>0.2379</v>
      </c>
      <c r="G54" s="16">
        <f>ROUND(F54,2)</f>
        <v>0.24</v>
      </c>
    </row>
    <row r="55" spans="1:21" x14ac:dyDescent="0.25">
      <c r="A55" s="19" t="s">
        <v>1733</v>
      </c>
      <c r="B55" s="19">
        <v>1340444</v>
      </c>
      <c r="C55" s="20">
        <v>0.4758</v>
      </c>
      <c r="E55" s="16" t="s">
        <v>1682</v>
      </c>
      <c r="F55" s="17">
        <f>C56/2</f>
        <v>0.26211768647700123</v>
      </c>
      <c r="G55" s="16">
        <f>ROUND(F55,2)</f>
        <v>0.26</v>
      </c>
    </row>
    <row r="56" spans="1:21" x14ac:dyDescent="0.25">
      <c r="A56" s="19" t="s">
        <v>1732</v>
      </c>
      <c r="B56" s="16">
        <f>B53-B55</f>
        <v>1477008</v>
      </c>
      <c r="C56" s="18">
        <f>B56/B53</f>
        <v>0.52423537295400247</v>
      </c>
      <c r="E56" s="16" t="s">
        <v>1681</v>
      </c>
      <c r="F56" s="17">
        <f>C56/2</f>
        <v>0.26211768647700123</v>
      </c>
      <c r="G56" s="16">
        <f>ROUND(F56,2)</f>
        <v>0.26</v>
      </c>
    </row>
    <row r="57" spans="1:21" x14ac:dyDescent="0.25">
      <c r="A57" s="16"/>
      <c r="B57" s="16"/>
      <c r="C57" s="16"/>
      <c r="T57" s="13" t="str">
        <f>CONCATENATE(U51,W29,T52,U52,W30,L46,U46,W29,L47,U47,W29,L48,U48,W29,L49,U49,W29,L45,U45)</f>
        <v>1 myell_biomass + 2.145 Maintenance_energy = 0.503 myell_rRNA + 0.075 caldarchaeol_di-P + 0.321 CELB + 0.053 myell_protein + 0.065 myell_DNA</v>
      </c>
    </row>
    <row r="58" spans="1:21" x14ac:dyDescent="0.25">
      <c r="A58" s="13" t="s">
        <v>1680</v>
      </c>
      <c r="T58" s="2"/>
    </row>
    <row r="59" spans="1:21" x14ac:dyDescent="0.25">
      <c r="A59" s="13" t="s">
        <v>1731</v>
      </c>
      <c r="B59" s="13" t="s">
        <v>1</v>
      </c>
      <c r="C59" s="13" t="s">
        <v>1679</v>
      </c>
      <c r="D59" s="13" t="s">
        <v>1678</v>
      </c>
      <c r="E59" s="13" t="s">
        <v>1677</v>
      </c>
      <c r="F59" s="13" t="s">
        <v>1676</v>
      </c>
      <c r="G59" s="13" t="s">
        <v>1675</v>
      </c>
      <c r="H59" s="13" t="s">
        <v>1674</v>
      </c>
    </row>
    <row r="60" spans="1:21" x14ac:dyDescent="0.25">
      <c r="A60" s="13" t="s">
        <v>1730</v>
      </c>
      <c r="B60" s="13" t="s">
        <v>1672</v>
      </c>
      <c r="C60" s="13">
        <f>SUM(LEN($A60)-LEN(SUBSTITUTE($A60,"A","")))/LEN("A")</f>
        <v>663</v>
      </c>
      <c r="D60" s="13">
        <f>SUM(LEN($A60)-LEN(SUBSTITUTE($A60,"T","")))/LEN("T")</f>
        <v>480</v>
      </c>
      <c r="E60" s="13">
        <f>SUM(LEN($A60)-LEN(SUBSTITUTE($A60,"C","")))/LEN("C")</f>
        <v>830</v>
      </c>
      <c r="F60" s="13">
        <f>SUM(LEN($A60)-LEN(SUBSTITUTE($A60,"G","")))/LEN("G")</f>
        <v>1080</v>
      </c>
      <c r="G60" s="13">
        <f>SUM(LEN($A60)-LEN(SUBSTITUTE($A60,"N","")))/LEN("N")</f>
        <v>0</v>
      </c>
      <c r="H60" s="13">
        <f>LEN(A60)</f>
        <v>3114</v>
      </c>
      <c r="J60" s="13" t="s">
        <v>1671</v>
      </c>
    </row>
    <row r="61" spans="1:21" x14ac:dyDescent="0.25">
      <c r="B61" s="16" t="s">
        <v>1670</v>
      </c>
      <c r="C61" s="13">
        <f>SUM(LEN($A63)-LEN(SUBSTITUTE($A63,"A","")))/LEN("A")</f>
        <v>301</v>
      </c>
      <c r="D61" s="13">
        <f>SUM(LEN($A63)-LEN(SUBSTITUTE($A63,"T","")))/LEN("T")</f>
        <v>208</v>
      </c>
      <c r="E61" s="13">
        <f>SUM(LEN($A63)-LEN(SUBSTITUTE($A63,"C","")))/LEN("C")</f>
        <v>390</v>
      </c>
      <c r="F61" s="13">
        <f>SUM(LEN($A63)-LEN(SUBSTITUTE($A63,"G","")))/LEN("G")</f>
        <v>486</v>
      </c>
      <c r="G61" s="13">
        <f>SUM(LEN($A63)-LEN(SUBSTITUTE($A63,"N","")))/LEN("N")</f>
        <v>0</v>
      </c>
      <c r="H61" s="13">
        <f>LEN(A63)</f>
        <v>1412</v>
      </c>
    </row>
    <row r="62" spans="1:21" x14ac:dyDescent="0.25">
      <c r="A62" s="16" t="s">
        <v>1729</v>
      </c>
    </row>
    <row r="63" spans="1:21" x14ac:dyDescent="0.25">
      <c r="A63" s="16" t="s">
        <v>1728</v>
      </c>
      <c r="B63" s="13" t="s">
        <v>1668</v>
      </c>
      <c r="C63" s="13">
        <f t="shared" ref="C63:H63" si="20">SUM(C60:C61)</f>
        <v>964</v>
      </c>
      <c r="D63" s="13">
        <f t="shared" si="20"/>
        <v>688</v>
      </c>
      <c r="E63" s="13">
        <f t="shared" si="20"/>
        <v>1220</v>
      </c>
      <c r="F63" s="13">
        <f t="shared" si="20"/>
        <v>1566</v>
      </c>
      <c r="G63" s="13">
        <f t="shared" si="20"/>
        <v>0</v>
      </c>
      <c r="H63" s="13">
        <f t="shared" si="20"/>
        <v>4526</v>
      </c>
      <c r="K63" s="13" t="s">
        <v>742</v>
      </c>
      <c r="L63" s="13" t="s">
        <v>1667</v>
      </c>
      <c r="M63" s="13" t="s">
        <v>749</v>
      </c>
      <c r="N63" s="13" t="s">
        <v>754</v>
      </c>
    </row>
    <row r="64" spans="1:21" x14ac:dyDescent="0.25">
      <c r="A64" s="16"/>
      <c r="B64" s="13" t="s">
        <v>1666</v>
      </c>
      <c r="C64" s="15">
        <f>ROUNDUP(C63/$H$63,2)</f>
        <v>0.22</v>
      </c>
      <c r="D64" s="15">
        <f>ROUNDUP(D63/$H$63,2)</f>
        <v>0.16</v>
      </c>
      <c r="E64" s="15">
        <f>ROUNDUP(E63/$H$63,2)</f>
        <v>0.27</v>
      </c>
      <c r="F64" s="15">
        <f>ROUNDUP(F63/$H$63,2)</f>
        <v>0.35000000000000003</v>
      </c>
      <c r="G64" s="15">
        <f>ROUND(G63/$H$63,2)</f>
        <v>0</v>
      </c>
      <c r="H64" s="15">
        <f>ROUND(H63/$H$63,2)</f>
        <v>1</v>
      </c>
      <c r="J64" s="13" t="s">
        <v>1665</v>
      </c>
      <c r="K64" s="15">
        <f>D64</f>
        <v>0.16</v>
      </c>
      <c r="L64" s="15">
        <f>C64</f>
        <v>0.22</v>
      </c>
      <c r="M64" s="15">
        <f>F64</f>
        <v>0.35000000000000003</v>
      </c>
      <c r="N64" s="15">
        <f>E64</f>
        <v>0.27</v>
      </c>
    </row>
    <row r="66" spans="1:20" x14ac:dyDescent="0.25">
      <c r="A66" s="13" t="s">
        <v>1664</v>
      </c>
    </row>
    <row r="67" spans="1:20" x14ac:dyDescent="0.25">
      <c r="A67" s="14" t="s">
        <v>1663</v>
      </c>
      <c r="C67" s="14" t="s">
        <v>1660</v>
      </c>
    </row>
    <row r="68" spans="1:20" x14ac:dyDescent="0.25">
      <c r="A68" s="14" t="s">
        <v>1727</v>
      </c>
      <c r="C68" s="14" t="s">
        <v>742</v>
      </c>
      <c r="D68" s="14" t="s">
        <v>741</v>
      </c>
      <c r="E68" s="13">
        <v>6</v>
      </c>
    </row>
    <row r="69" spans="1:20" x14ac:dyDescent="0.25">
      <c r="A69" s="14" t="s">
        <v>1726</v>
      </c>
      <c r="C69" s="14" t="s">
        <v>749</v>
      </c>
      <c r="D69" s="14" t="s">
        <v>748</v>
      </c>
      <c r="E69" s="13">
        <v>0.7</v>
      </c>
      <c r="T69" t="s">
        <v>192</v>
      </c>
    </row>
    <row r="70" spans="1:20" x14ac:dyDescent="0.25">
      <c r="A70" s="14"/>
      <c r="C70" s="14" t="s">
        <v>747</v>
      </c>
      <c r="D70" s="14" t="s">
        <v>1659</v>
      </c>
      <c r="E70" s="13">
        <v>4.5999999999999996</v>
      </c>
      <c r="T70"/>
    </row>
    <row r="71" spans="1:20" x14ac:dyDescent="0.25">
      <c r="C71" s="14" t="s">
        <v>750</v>
      </c>
      <c r="D71" s="14" t="s">
        <v>1658</v>
      </c>
      <c r="E71" s="13">
        <v>7.2</v>
      </c>
    </row>
    <row r="72" spans="1:20" x14ac:dyDescent="0.25">
      <c r="C72" s="14" t="s">
        <v>766</v>
      </c>
      <c r="D72" s="14" t="s">
        <v>765</v>
      </c>
      <c r="E72" s="13">
        <v>4.2</v>
      </c>
    </row>
    <row r="73" spans="1:20" x14ac:dyDescent="0.25">
      <c r="C73" s="14" t="s">
        <v>754</v>
      </c>
      <c r="D73" s="14" t="s">
        <v>753</v>
      </c>
      <c r="E73" s="13">
        <v>7.5</v>
      </c>
    </row>
    <row r="74" spans="1:20" x14ac:dyDescent="0.25">
      <c r="C74" s="14" t="s">
        <v>756</v>
      </c>
      <c r="D74" s="14" t="s">
        <v>755</v>
      </c>
      <c r="E74" s="13">
        <v>1.5</v>
      </c>
    </row>
    <row r="75" spans="1:20" x14ac:dyDescent="0.25">
      <c r="C75" s="14" t="s">
        <v>758</v>
      </c>
      <c r="D75" s="14" t="s">
        <v>757</v>
      </c>
      <c r="E75" s="13">
        <v>6.5</v>
      </c>
    </row>
    <row r="76" spans="1:20" x14ac:dyDescent="0.25">
      <c r="C76" s="14" t="s">
        <v>762</v>
      </c>
      <c r="D76" s="14" t="s">
        <v>761</v>
      </c>
      <c r="E76" s="13">
        <v>6.1</v>
      </c>
    </row>
    <row r="77" spans="1:20" x14ac:dyDescent="0.25">
      <c r="C77" s="14" t="s">
        <v>760</v>
      </c>
      <c r="D77" s="14" t="s">
        <v>759</v>
      </c>
      <c r="E77" s="13">
        <v>11</v>
      </c>
    </row>
    <row r="78" spans="1:20" x14ac:dyDescent="0.25">
      <c r="C78" s="14" t="s">
        <v>764</v>
      </c>
      <c r="D78" s="14" t="s">
        <v>763</v>
      </c>
      <c r="E78" s="13">
        <v>2.4</v>
      </c>
    </row>
    <row r="79" spans="1:20" x14ac:dyDescent="0.25">
      <c r="C79" s="14" t="s">
        <v>746</v>
      </c>
      <c r="D79" s="14" t="s">
        <v>745</v>
      </c>
      <c r="E79" s="13">
        <v>3.6</v>
      </c>
    </row>
    <row r="80" spans="1:20" x14ac:dyDescent="0.25">
      <c r="C80" s="14" t="s">
        <v>768</v>
      </c>
      <c r="D80" s="14" t="s">
        <v>767</v>
      </c>
      <c r="E80" s="13">
        <v>4.3</v>
      </c>
    </row>
    <row r="81" spans="1:5" x14ac:dyDescent="0.25">
      <c r="C81" s="14" t="s">
        <v>752</v>
      </c>
      <c r="D81" s="14" t="s">
        <v>751</v>
      </c>
      <c r="E81" s="13">
        <v>2.2999999999999998</v>
      </c>
    </row>
    <row r="82" spans="1:5" x14ac:dyDescent="0.25">
      <c r="C82" s="14" t="s">
        <v>744</v>
      </c>
      <c r="D82" s="14" t="s">
        <v>743</v>
      </c>
      <c r="E82" s="13">
        <v>6.3</v>
      </c>
    </row>
    <row r="83" spans="1:5" x14ac:dyDescent="0.25">
      <c r="C83" s="14" t="s">
        <v>770</v>
      </c>
      <c r="D83" s="14" t="s">
        <v>769</v>
      </c>
      <c r="E83" s="13">
        <v>7</v>
      </c>
    </row>
    <row r="84" spans="1:5" x14ac:dyDescent="0.25">
      <c r="C84" s="14" t="s">
        <v>772</v>
      </c>
      <c r="D84" s="14" t="s">
        <v>771</v>
      </c>
      <c r="E84" s="13">
        <v>4.9000000000000004</v>
      </c>
    </row>
    <row r="85" spans="1:5" x14ac:dyDescent="0.25">
      <c r="C85" s="14" t="s">
        <v>778</v>
      </c>
      <c r="D85" s="14" t="s">
        <v>777</v>
      </c>
      <c r="E85" s="13">
        <v>9.1</v>
      </c>
    </row>
    <row r="86" spans="1:5" x14ac:dyDescent="0.25">
      <c r="A86" s="14" t="s">
        <v>1656</v>
      </c>
      <c r="C86" s="14" t="s">
        <v>774</v>
      </c>
      <c r="D86" s="14" t="s">
        <v>773</v>
      </c>
      <c r="E86" s="13">
        <v>1.2</v>
      </c>
    </row>
    <row r="87" spans="1:5" x14ac:dyDescent="0.25">
      <c r="A87" s="14"/>
      <c r="C87" s="14" t="s">
        <v>1657</v>
      </c>
      <c r="D87" s="14" t="s">
        <v>200</v>
      </c>
      <c r="E87" s="13">
        <v>0</v>
      </c>
    </row>
    <row r="88" spans="1:5" x14ac:dyDescent="0.25">
      <c r="A88" s="14" t="s">
        <v>1725</v>
      </c>
      <c r="C88" s="14" t="s">
        <v>776</v>
      </c>
      <c r="D88" s="14" t="s">
        <v>775</v>
      </c>
      <c r="E88" s="13">
        <v>3.9</v>
      </c>
    </row>
    <row r="93" spans="1:5" x14ac:dyDescent="0.25">
      <c r="A93" s="14"/>
    </row>
  </sheetData>
  <pageMargins left="0.75" right="0.75" top="1" bottom="1" header="0.5" footer="0.5"/>
  <pageSetup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E108"/>
  <sheetViews>
    <sheetView zoomScale="60" zoomScaleNormal="60" zoomScalePageLayoutView="125" workbookViewId="0">
      <pane ySplit="1" topLeftCell="A2" activePane="bottomLeft" state="frozen"/>
      <selection pane="bottomLeft" activeCell="AE70" sqref="AE70"/>
    </sheetView>
  </sheetViews>
  <sheetFormatPr defaultColWidth="12.5703125" defaultRowHeight="15.75" x14ac:dyDescent="0.25"/>
  <cols>
    <col min="1" max="1" width="12.140625" style="5" customWidth="1"/>
    <col min="2" max="2" width="20.28515625" style="5" customWidth="1"/>
    <col min="3" max="3" width="19.7109375" style="5" customWidth="1"/>
    <col min="4" max="10" width="8.28515625" style="5" customWidth="1"/>
    <col min="11" max="11" width="11" style="5" customWidth="1"/>
    <col min="12" max="12" width="12.7109375" style="5" customWidth="1"/>
    <col min="13" max="13" width="10.140625" style="5" customWidth="1"/>
    <col min="14" max="20" width="10.5703125" style="5" customWidth="1"/>
    <col min="21" max="21" width="20.7109375" style="5" customWidth="1"/>
    <col min="22" max="30" width="12.5703125" style="5"/>
    <col min="31" max="31" width="234" style="5" customWidth="1"/>
    <col min="32" max="16384" width="12.5703125" style="5"/>
  </cols>
  <sheetData>
    <row r="1" spans="1:24" s="11" customFormat="1" x14ac:dyDescent="0.25">
      <c r="A1" s="11" t="s">
        <v>1724</v>
      </c>
      <c r="B1" s="11" t="s">
        <v>1723</v>
      </c>
      <c r="C1" s="11" t="s">
        <v>1248</v>
      </c>
      <c r="D1" s="11" t="s">
        <v>749</v>
      </c>
      <c r="E1" s="11" t="s">
        <v>756</v>
      </c>
      <c r="F1" s="11" t="s">
        <v>746</v>
      </c>
      <c r="G1" s="11" t="s">
        <v>1249</v>
      </c>
      <c r="H1" s="11" t="s">
        <v>768</v>
      </c>
      <c r="I1" s="11" t="s">
        <v>770</v>
      </c>
      <c r="J1" s="11" t="s">
        <v>750</v>
      </c>
      <c r="K1" s="11" t="s">
        <v>1722</v>
      </c>
      <c r="L1" s="11" t="s">
        <v>1721</v>
      </c>
      <c r="M1" s="11" t="s">
        <v>1709</v>
      </c>
      <c r="N1" s="11" t="s">
        <v>749</v>
      </c>
      <c r="O1" s="11" t="s">
        <v>756</v>
      </c>
      <c r="P1" s="11" t="s">
        <v>746</v>
      </c>
      <c r="Q1" s="11" t="s">
        <v>1249</v>
      </c>
      <c r="R1" s="11" t="s">
        <v>768</v>
      </c>
      <c r="S1" s="11" t="s">
        <v>770</v>
      </c>
      <c r="T1" s="11" t="s">
        <v>750</v>
      </c>
    </row>
    <row r="2" spans="1:24" x14ac:dyDescent="0.25">
      <c r="A2" s="5" t="s">
        <v>1462</v>
      </c>
      <c r="B2" s="5" t="s">
        <v>1431</v>
      </c>
      <c r="C2" s="3" t="str">
        <f>Metabolites!F73</f>
        <v>C10H12N5O12P3</v>
      </c>
      <c r="D2" s="3">
        <f>Metabolites!G73</f>
        <v>10</v>
      </c>
      <c r="E2" s="3">
        <f>Metabolites!H73</f>
        <v>12</v>
      </c>
      <c r="F2" s="3">
        <f>Metabolites!I73</f>
        <v>5</v>
      </c>
      <c r="G2" s="3">
        <f>Metabolites!J73</f>
        <v>12</v>
      </c>
      <c r="H2" s="3">
        <f>Metabolites!K73</f>
        <v>3</v>
      </c>
      <c r="I2" s="3">
        <f>Metabolites!L73</f>
        <v>0</v>
      </c>
      <c r="J2" s="3">
        <f>Metabolites!M73</f>
        <v>32</v>
      </c>
      <c r="K2" s="5">
        <f>(D2*12.01)+(E2*1.008)+(F2*14.01)+(G2*16)+(H2*30.97)+(I2*32.07)</f>
        <v>487.15599999999995</v>
      </c>
      <c r="L2" s="5">
        <f>L65</f>
        <v>0.34</v>
      </c>
      <c r="M2" s="5">
        <f>K2*L2</f>
        <v>165.63303999999999</v>
      </c>
      <c r="N2" s="5">
        <f>D2*$L2</f>
        <v>3.4000000000000004</v>
      </c>
      <c r="O2" s="5">
        <f>E2*L2</f>
        <v>4.08</v>
      </c>
      <c r="P2" s="5">
        <f>F2*L2</f>
        <v>1.7000000000000002</v>
      </c>
      <c r="Q2" s="5">
        <f>G2*L2</f>
        <v>4.08</v>
      </c>
      <c r="R2" s="5">
        <f>H2*L2</f>
        <v>1.02</v>
      </c>
      <c r="S2" s="5">
        <f>I2*L2</f>
        <v>0</v>
      </c>
      <c r="T2" s="5">
        <f>J2*L2</f>
        <v>10.88</v>
      </c>
      <c r="U2" s="5" t="s">
        <v>1765</v>
      </c>
      <c r="V2" s="5">
        <v>1</v>
      </c>
      <c r="W2" s="5" t="s">
        <v>1759</v>
      </c>
    </row>
    <row r="3" spans="1:24" x14ac:dyDescent="0.25">
      <c r="B3" s="5" t="s">
        <v>1471</v>
      </c>
      <c r="C3" s="5" t="str">
        <f>Metabolites!F91</f>
        <v>C10H13N2O14P3</v>
      </c>
      <c r="D3" s="5">
        <f>Metabolites!G91</f>
        <v>10</v>
      </c>
      <c r="E3" s="5">
        <f>Metabolites!H91</f>
        <v>13</v>
      </c>
      <c r="F3" s="5">
        <f>Metabolites!I91</f>
        <v>2</v>
      </c>
      <c r="G3" s="5">
        <f>Metabolites!J91</f>
        <v>14</v>
      </c>
      <c r="H3" s="5">
        <f>Metabolites!K91</f>
        <v>3</v>
      </c>
      <c r="I3" s="5">
        <f>Metabolites!L91</f>
        <v>0</v>
      </c>
      <c r="J3" s="5">
        <f>Metabolites!M91</f>
        <v>38</v>
      </c>
      <c r="K3" s="5">
        <f>(D3*12.01)+(E3*1.008)+(F3*14.01)+(G3*16)+(H3*30.97)+(I3*32.07)</f>
        <v>478.13400000000001</v>
      </c>
      <c r="L3" s="5">
        <f>L66</f>
        <v>0.34</v>
      </c>
      <c r="M3" s="5">
        <f>K3*L3</f>
        <v>162.56556</v>
      </c>
      <c r="N3" s="5">
        <f>D3*$L3</f>
        <v>3.4000000000000004</v>
      </c>
      <c r="O3" s="5">
        <f>E3*L3</f>
        <v>4.42</v>
      </c>
      <c r="P3" s="5">
        <f>F3*L3</f>
        <v>0.68</v>
      </c>
      <c r="Q3" s="5">
        <f>G3*L3</f>
        <v>4.7600000000000007</v>
      </c>
      <c r="R3" s="5">
        <f>H3*L3</f>
        <v>1.02</v>
      </c>
      <c r="S3" s="5">
        <f>I3*L3</f>
        <v>0</v>
      </c>
      <c r="T3" s="5">
        <f>J3*L3</f>
        <v>12.920000000000002</v>
      </c>
      <c r="U3" s="5" t="s">
        <v>1766</v>
      </c>
      <c r="V3" s="5">
        <v>1</v>
      </c>
      <c r="W3" s="5" t="s">
        <v>1769</v>
      </c>
      <c r="X3" s="1" t="s">
        <v>39</v>
      </c>
    </row>
    <row r="4" spans="1:24" x14ac:dyDescent="0.25">
      <c r="B4" s="5" t="s">
        <v>1434</v>
      </c>
      <c r="C4" s="5" t="str">
        <f>Metabolites!F74</f>
        <v>C9H12N3O13P3</v>
      </c>
      <c r="D4" s="5">
        <f>Metabolites!G74</f>
        <v>9</v>
      </c>
      <c r="E4" s="5">
        <f>Metabolites!H74</f>
        <v>12</v>
      </c>
      <c r="F4" s="5">
        <f>Metabolites!I74</f>
        <v>3</v>
      </c>
      <c r="G4" s="5">
        <f>Metabolites!J74</f>
        <v>13</v>
      </c>
      <c r="H4" s="5">
        <f>Metabolites!K74</f>
        <v>3</v>
      </c>
      <c r="I4" s="5">
        <f>Metabolites!L74</f>
        <v>0</v>
      </c>
      <c r="J4" s="5">
        <f>Metabolites!M74</f>
        <v>32</v>
      </c>
      <c r="K4" s="5">
        <f>(D4*12.01)+(E4*1.008)+(F4*14.01)+(G4*16)+(H4*30.97)+(I4*32.07)</f>
        <v>463.12599999999998</v>
      </c>
      <c r="L4" s="5">
        <f>L64</f>
        <v>0.16</v>
      </c>
      <c r="M4" s="5">
        <f>K4*L4</f>
        <v>74.100160000000002</v>
      </c>
      <c r="N4" s="5">
        <f>D4*$L4</f>
        <v>1.44</v>
      </c>
      <c r="O4" s="5">
        <f>E4*L4</f>
        <v>1.92</v>
      </c>
      <c r="P4" s="5">
        <f>F4*L4</f>
        <v>0.48</v>
      </c>
      <c r="Q4" s="5">
        <f>G4*L4</f>
        <v>2.08</v>
      </c>
      <c r="R4" s="5">
        <f>H4*L4</f>
        <v>0.48</v>
      </c>
      <c r="S4" s="5">
        <f>I4*L4</f>
        <v>0</v>
      </c>
      <c r="T4" s="5">
        <f>J4*L4</f>
        <v>5.12</v>
      </c>
      <c r="U4" s="5" t="s">
        <v>1767</v>
      </c>
      <c r="V4" s="5">
        <v>1</v>
      </c>
      <c r="W4" s="5" t="s">
        <v>1770</v>
      </c>
    </row>
    <row r="5" spans="1:24" x14ac:dyDescent="0.25">
      <c r="B5" s="5" t="s">
        <v>1448</v>
      </c>
      <c r="C5" s="5" t="str">
        <f>Metabolites!F81</f>
        <v>C10H12N5O13P3</v>
      </c>
      <c r="D5" s="5">
        <f>Metabolites!G81</f>
        <v>10</v>
      </c>
      <c r="E5" s="5">
        <f>Metabolites!H81</f>
        <v>12</v>
      </c>
      <c r="F5" s="5">
        <f>Metabolites!I81</f>
        <v>5</v>
      </c>
      <c r="G5" s="5">
        <f>Metabolites!J81</f>
        <v>13</v>
      </c>
      <c r="H5" s="5">
        <f>Metabolites!K81</f>
        <v>3</v>
      </c>
      <c r="I5" s="5">
        <f>Metabolites!L81</f>
        <v>0</v>
      </c>
      <c r="J5" s="5">
        <f>Metabolites!M81</f>
        <v>30</v>
      </c>
      <c r="K5" s="5">
        <f>(D5*12.01)+(E5*1.008)+(F5*14.01)+(G5*16)+(H5*30.97)+(I5*32.07)</f>
        <v>503.15599999999995</v>
      </c>
      <c r="L5" s="5">
        <f>L63</f>
        <v>0.16</v>
      </c>
      <c r="M5" s="5">
        <f>K5*L5</f>
        <v>80.504959999999997</v>
      </c>
      <c r="N5" s="5">
        <f>D5*$L5</f>
        <v>1.6</v>
      </c>
      <c r="O5" s="5">
        <f>E5*L5</f>
        <v>1.92</v>
      </c>
      <c r="P5" s="5">
        <f>F5*L5</f>
        <v>0.8</v>
      </c>
      <c r="Q5" s="5">
        <f>G5*L5</f>
        <v>2.08</v>
      </c>
      <c r="R5" s="5">
        <f>H5*L5</f>
        <v>0.48</v>
      </c>
      <c r="S5" s="5">
        <f>I5*L5</f>
        <v>0</v>
      </c>
      <c r="T5" s="5">
        <f>J5*L5</f>
        <v>4.8</v>
      </c>
      <c r="U5" s="5" t="s">
        <v>1768</v>
      </c>
      <c r="V5" s="5">
        <v>1</v>
      </c>
      <c r="W5" s="5" t="s">
        <v>1764</v>
      </c>
    </row>
    <row r="6" spans="1:24" ht="18.75" x14ac:dyDescent="0.35">
      <c r="B6" s="5" t="s">
        <v>1948</v>
      </c>
      <c r="C6" s="3" t="s">
        <v>1159</v>
      </c>
      <c r="D6" s="3"/>
      <c r="E6" s="3">
        <v>1</v>
      </c>
      <c r="G6" s="3">
        <v>7</v>
      </c>
      <c r="H6" s="3">
        <v>2</v>
      </c>
      <c r="I6" s="3"/>
      <c r="J6" s="5">
        <v>0</v>
      </c>
      <c r="K6" s="5">
        <f>(D6*12.01)+(E6*1.008)+(F6*14.01)+(G6*16)+(H6*30.97)+(I6*32.07)</f>
        <v>174.94799999999998</v>
      </c>
      <c r="L6" s="5">
        <v>-1</v>
      </c>
      <c r="M6" s="5">
        <f>K6*L6</f>
        <v>-174.94799999999998</v>
      </c>
      <c r="N6" s="5">
        <f>D6*$L6</f>
        <v>0</v>
      </c>
      <c r="O6" s="5">
        <f t="shared" ref="O6:T6" si="0">E6*$L6</f>
        <v>-1</v>
      </c>
      <c r="P6" s="5">
        <f t="shared" si="0"/>
        <v>0</v>
      </c>
      <c r="Q6" s="5">
        <f t="shared" si="0"/>
        <v>-7</v>
      </c>
      <c r="R6" s="5">
        <f t="shared" si="0"/>
        <v>-2</v>
      </c>
      <c r="S6" s="5">
        <f t="shared" si="0"/>
        <v>0</v>
      </c>
      <c r="T6" s="5">
        <f t="shared" si="0"/>
        <v>0</v>
      </c>
    </row>
    <row r="7" spans="1:24" x14ac:dyDescent="0.25">
      <c r="L7" s="5">
        <f>SUM(L2:L5)</f>
        <v>1</v>
      </c>
      <c r="M7" s="5">
        <f t="shared" ref="M7:T7" si="1">SUM(M2:M6)</f>
        <v>307.85572000000002</v>
      </c>
      <c r="N7" s="5">
        <f t="shared" si="1"/>
        <v>9.84</v>
      </c>
      <c r="O7" s="5">
        <f t="shared" si="1"/>
        <v>11.34</v>
      </c>
      <c r="P7" s="5">
        <f t="shared" si="1"/>
        <v>3.66</v>
      </c>
      <c r="Q7" s="5">
        <f t="shared" si="1"/>
        <v>6</v>
      </c>
      <c r="R7" s="5">
        <f t="shared" si="1"/>
        <v>1</v>
      </c>
      <c r="S7" s="5">
        <f t="shared" si="1"/>
        <v>0</v>
      </c>
      <c r="T7" s="5">
        <f t="shared" si="1"/>
        <v>33.720000000000006</v>
      </c>
      <c r="U7" s="5" t="str">
        <f>CONCATENATE(L2,U2,W31,L3,U3,W31,L4,U4,W31,L5,U5,W32,V3,W3,W31,V4,W4)</f>
        <v>0.34 dATP + 0.34 dTTP + 0.16 dCTP + 0.16 dGTP = 1 DNA + 1 PPi</v>
      </c>
    </row>
    <row r="9" spans="1:24" x14ac:dyDescent="0.25">
      <c r="A9" s="5" t="s">
        <v>1177</v>
      </c>
      <c r="B9" s="5" t="s">
        <v>1387</v>
      </c>
      <c r="C9" s="5" t="str">
        <f>Metabolites!F52</f>
        <v>C10H12N5O13P3</v>
      </c>
      <c r="D9" s="5">
        <f>Metabolites!G52</f>
        <v>10</v>
      </c>
      <c r="E9" s="5">
        <f>Metabolites!H52</f>
        <v>12</v>
      </c>
      <c r="F9" s="5">
        <f>Metabolites!I52</f>
        <v>5</v>
      </c>
      <c r="G9" s="5">
        <f>Metabolites!J52</f>
        <v>13</v>
      </c>
      <c r="H9" s="5">
        <f>Metabolites!K52</f>
        <v>3</v>
      </c>
      <c r="I9" s="5">
        <f>Metabolites!L52</f>
        <v>0</v>
      </c>
      <c r="J9" s="5">
        <f>Metabolites!M52</f>
        <v>30</v>
      </c>
      <c r="K9" s="5">
        <f>(D9*12.01)+(E9*1.008)+(F9*14.01)+(G9*16)+(H9*30.97)+(I9*32.07)</f>
        <v>503.15599999999995</v>
      </c>
      <c r="L9" s="6">
        <f>L74</f>
        <v>0.18</v>
      </c>
      <c r="M9" s="5">
        <f>K9*L9</f>
        <v>90.568079999999981</v>
      </c>
      <c r="N9" s="5">
        <f>D9*$L9</f>
        <v>1.7999999999999998</v>
      </c>
      <c r="O9" s="5">
        <f>E9*L9</f>
        <v>2.16</v>
      </c>
      <c r="P9" s="5">
        <f>F9*L9</f>
        <v>0.89999999999999991</v>
      </c>
      <c r="Q9" s="5">
        <f>G9*L9</f>
        <v>2.34</v>
      </c>
      <c r="R9" s="5">
        <f>H9*L9</f>
        <v>0.54</v>
      </c>
      <c r="S9" s="5">
        <f>I9*L9</f>
        <v>0</v>
      </c>
      <c r="T9" s="5">
        <f>J9*L9</f>
        <v>5.3999999999999995</v>
      </c>
      <c r="U9" s="5" t="s">
        <v>1757</v>
      </c>
      <c r="X9" s="1" t="s">
        <v>169</v>
      </c>
    </row>
    <row r="10" spans="1:24" x14ac:dyDescent="0.25">
      <c r="B10" s="5" t="s">
        <v>1218</v>
      </c>
      <c r="C10" s="5" t="str">
        <f>Metabolites!F280</f>
        <v>C9H11N2O15P3</v>
      </c>
      <c r="D10" s="5">
        <f>Metabolites!G280</f>
        <v>9</v>
      </c>
      <c r="E10" s="5">
        <f>Metabolites!H280</f>
        <v>11</v>
      </c>
      <c r="F10" s="5">
        <f>Metabolites!I280</f>
        <v>2</v>
      </c>
      <c r="G10" s="5">
        <f>Metabolites!J280</f>
        <v>15</v>
      </c>
      <c r="H10" s="5">
        <f>Metabolites!K280</f>
        <v>3</v>
      </c>
      <c r="I10" s="5">
        <f>Metabolites!L280</f>
        <v>0</v>
      </c>
      <c r="J10" s="5">
        <f>Metabolites!M280</f>
        <v>30</v>
      </c>
      <c r="K10" s="5">
        <f>(D10*12.01)+(E10*1.008)+(F10*14.01)+(G10*16)+(H10*30.97)+(I10*32.07)</f>
        <v>480.10799999999995</v>
      </c>
      <c r="L10" s="6">
        <f>M74</f>
        <v>0.25</v>
      </c>
      <c r="M10" s="5">
        <f>K10*L10</f>
        <v>120.02699999999999</v>
      </c>
      <c r="N10" s="5">
        <f>D10*$L10</f>
        <v>2.25</v>
      </c>
      <c r="O10" s="5">
        <f>E10*L10</f>
        <v>2.75</v>
      </c>
      <c r="P10" s="5">
        <f>F10*L10</f>
        <v>0.5</v>
      </c>
      <c r="Q10" s="5">
        <f>G10*L10</f>
        <v>3.75</v>
      </c>
      <c r="R10" s="5">
        <f>H10*L10</f>
        <v>0.75</v>
      </c>
      <c r="S10" s="5">
        <f>I10*L10</f>
        <v>0</v>
      </c>
      <c r="T10" s="5">
        <f>J10*L10</f>
        <v>7.5</v>
      </c>
      <c r="U10" s="5" t="s">
        <v>1771</v>
      </c>
      <c r="W10" s="5" t="s">
        <v>1901</v>
      </c>
    </row>
    <row r="11" spans="1:24" x14ac:dyDescent="0.25">
      <c r="B11" s="5" t="s">
        <v>1417</v>
      </c>
      <c r="C11" s="5" t="str">
        <f>Metabolites!F69</f>
        <v>C9H12N3O14P3</v>
      </c>
      <c r="D11" s="5">
        <f>Metabolites!G69</f>
        <v>9</v>
      </c>
      <c r="E11" s="5">
        <f>Metabolites!H69</f>
        <v>12</v>
      </c>
      <c r="F11" s="5">
        <f>Metabolites!I69</f>
        <v>3</v>
      </c>
      <c r="G11" s="5">
        <f>Metabolites!J69</f>
        <v>14</v>
      </c>
      <c r="H11" s="5">
        <f>Metabolites!K69</f>
        <v>3</v>
      </c>
      <c r="I11" s="5">
        <f>Metabolites!L69</f>
        <v>0</v>
      </c>
      <c r="J11" s="5">
        <f>Metabolites!M69</f>
        <v>30</v>
      </c>
      <c r="K11" s="5">
        <f>(D11*12.01)+(E11*1.008)+(F11*14.01)+(G11*16)+(H11*30.97)+(I11*32.07)</f>
        <v>479.12599999999998</v>
      </c>
      <c r="L11" s="6">
        <f>N74</f>
        <v>0.32</v>
      </c>
      <c r="M11" s="5">
        <f>K11*L11</f>
        <v>153.32032000000001</v>
      </c>
      <c r="N11" s="5">
        <f>D11*$L11</f>
        <v>2.88</v>
      </c>
      <c r="O11" s="5">
        <f>E11*L11</f>
        <v>3.84</v>
      </c>
      <c r="P11" s="5">
        <f>F11*L11</f>
        <v>0.96</v>
      </c>
      <c r="Q11" s="5">
        <f>G11*L11</f>
        <v>4.4800000000000004</v>
      </c>
      <c r="R11" s="5">
        <f>H11*L11</f>
        <v>0.96</v>
      </c>
      <c r="S11" s="5">
        <f>I11*L11</f>
        <v>0</v>
      </c>
      <c r="T11" s="5">
        <f>J11*L11</f>
        <v>9.6</v>
      </c>
      <c r="U11" s="5" t="s">
        <v>1772</v>
      </c>
    </row>
    <row r="12" spans="1:24" x14ac:dyDescent="0.25">
      <c r="B12" s="5" t="s">
        <v>1537</v>
      </c>
      <c r="C12" s="5" t="str">
        <f>Metabolites!F123</f>
        <v>C10H12N5O14P3</v>
      </c>
      <c r="D12" s="5">
        <f>Metabolites!G123</f>
        <v>10</v>
      </c>
      <c r="E12" s="5">
        <f>Metabolites!H123</f>
        <v>12</v>
      </c>
      <c r="F12" s="5">
        <f>Metabolites!I123</f>
        <v>5</v>
      </c>
      <c r="G12" s="5">
        <f>Metabolites!J123</f>
        <v>14</v>
      </c>
      <c r="H12" s="5">
        <f>Metabolites!K123</f>
        <v>3</v>
      </c>
      <c r="I12" s="5">
        <f>Metabolites!L123</f>
        <v>0</v>
      </c>
      <c r="J12" s="5">
        <f>Metabolites!M123</f>
        <v>28</v>
      </c>
      <c r="K12" s="5">
        <f>(D12*12.01)+(E12*1.008)+(F12*14.01)+(G12*16)+(H12*30.97)+(I12*32.07)</f>
        <v>519.15599999999995</v>
      </c>
      <c r="L12" s="6">
        <f>O74</f>
        <v>0.25</v>
      </c>
      <c r="M12" s="5">
        <f>K12*L12</f>
        <v>129.78899999999999</v>
      </c>
      <c r="N12" s="5">
        <f>D12*$L12</f>
        <v>2.5</v>
      </c>
      <c r="O12" s="5">
        <f>E12*L12</f>
        <v>3</v>
      </c>
      <c r="P12" s="5">
        <f>F12*L12</f>
        <v>1.25</v>
      </c>
      <c r="Q12" s="5">
        <f>G12*L12</f>
        <v>3.5</v>
      </c>
      <c r="R12" s="5">
        <f>H12*L12</f>
        <v>0.75</v>
      </c>
      <c r="S12" s="5">
        <f>I12*L12</f>
        <v>0</v>
      </c>
      <c r="T12" s="5">
        <f>J12*L12</f>
        <v>7</v>
      </c>
      <c r="U12" s="5" t="s">
        <v>1758</v>
      </c>
    </row>
    <row r="13" spans="1:24" ht="18.75" x14ac:dyDescent="0.35">
      <c r="B13" s="5" t="s">
        <v>1948</v>
      </c>
      <c r="C13" s="3" t="s">
        <v>1159</v>
      </c>
      <c r="D13" s="3"/>
      <c r="E13" s="3">
        <v>1</v>
      </c>
      <c r="G13" s="3">
        <v>7</v>
      </c>
      <c r="H13" s="3">
        <v>2</v>
      </c>
      <c r="I13" s="3"/>
      <c r="J13" s="5">
        <v>0</v>
      </c>
      <c r="K13" s="5">
        <v>174.94</v>
      </c>
      <c r="L13" s="6">
        <v>-1</v>
      </c>
      <c r="M13" s="5">
        <f>K13*L13</f>
        <v>-174.94</v>
      </c>
      <c r="N13" s="5">
        <f>D13*$L13</f>
        <v>0</v>
      </c>
      <c r="O13" s="5">
        <f t="shared" ref="O13:T13" si="2">E13*$L13</f>
        <v>-1</v>
      </c>
      <c r="P13" s="5">
        <f t="shared" si="2"/>
        <v>0</v>
      </c>
      <c r="Q13" s="5">
        <f t="shared" si="2"/>
        <v>-7</v>
      </c>
      <c r="R13" s="5">
        <f t="shared" si="2"/>
        <v>-2</v>
      </c>
      <c r="S13" s="5">
        <f t="shared" si="2"/>
        <v>0</v>
      </c>
      <c r="T13" s="5">
        <f t="shared" si="2"/>
        <v>0</v>
      </c>
    </row>
    <row r="14" spans="1:24" x14ac:dyDescent="0.25">
      <c r="L14" s="5">
        <f>SUM(L9:L12)</f>
        <v>1</v>
      </c>
      <c r="M14" s="5">
        <f t="shared" ref="M14:T14" si="3">SUM(M9:M13)</f>
        <v>318.76439999999997</v>
      </c>
      <c r="N14" s="5">
        <f t="shared" si="3"/>
        <v>9.43</v>
      </c>
      <c r="O14" s="5">
        <f t="shared" si="3"/>
        <v>10.75</v>
      </c>
      <c r="P14" s="5">
        <f t="shared" si="3"/>
        <v>3.61</v>
      </c>
      <c r="Q14" s="5">
        <f t="shared" si="3"/>
        <v>7.07</v>
      </c>
      <c r="R14" s="5">
        <f t="shared" si="3"/>
        <v>1</v>
      </c>
      <c r="S14" s="5">
        <f t="shared" si="3"/>
        <v>0</v>
      </c>
      <c r="T14" s="5">
        <f t="shared" si="3"/>
        <v>29.5</v>
      </c>
      <c r="U14" s="5" t="str">
        <f>CONCATENATE(L9,U9,W31,L10,U10,W31,L11,U11,W31,L12,U12,W32,V3,W10,W31,V4,W4)</f>
        <v>0.18 ATP + 0.25 UTP + 0.32 CTP + 0.25 GTP = 1 rRNA + 1 PPi</v>
      </c>
    </row>
    <row r="16" spans="1:24" x14ac:dyDescent="0.25">
      <c r="A16" s="5" t="s">
        <v>1706</v>
      </c>
      <c r="B16" s="5" t="s">
        <v>1391</v>
      </c>
      <c r="D16" s="5">
        <f>Metabolites!G54</f>
        <v>53</v>
      </c>
      <c r="E16" s="5">
        <f>Metabolites!H54</f>
        <v>87</v>
      </c>
      <c r="F16" s="5">
        <f>Metabolites!I54</f>
        <v>0</v>
      </c>
      <c r="G16" s="5">
        <f>Metabolites!J54</f>
        <v>6</v>
      </c>
      <c r="H16" s="5">
        <f>Metabolites!K54</f>
        <v>1</v>
      </c>
      <c r="I16" s="5">
        <f>Metabolites!L54</f>
        <v>0</v>
      </c>
      <c r="J16" s="5">
        <f>Metabolites!M54</f>
        <v>294</v>
      </c>
      <c r="K16" s="5">
        <f>(D16*12.01)+(E16*1.008)+(F16*14.01)+(G16*16)+(H16*30.97)+(I16*32.07)</f>
        <v>851.19600000000003</v>
      </c>
      <c r="L16" s="5">
        <v>1</v>
      </c>
      <c r="M16" s="5">
        <f>K16*L16</f>
        <v>851.19600000000003</v>
      </c>
      <c r="N16" s="5">
        <f t="shared" ref="N16:S16" si="4">D16*$L16</f>
        <v>53</v>
      </c>
      <c r="O16" s="5">
        <f t="shared" si="4"/>
        <v>87</v>
      </c>
      <c r="P16" s="5">
        <f t="shared" si="4"/>
        <v>0</v>
      </c>
      <c r="Q16" s="5">
        <f t="shared" si="4"/>
        <v>6</v>
      </c>
      <c r="R16" s="5">
        <f t="shared" si="4"/>
        <v>1</v>
      </c>
      <c r="S16" s="5">
        <f t="shared" si="4"/>
        <v>0</v>
      </c>
      <c r="T16" s="5">
        <f>J16*L16</f>
        <v>294</v>
      </c>
    </row>
    <row r="18" spans="1:24" x14ac:dyDescent="0.25">
      <c r="A18" s="5" t="s">
        <v>1713</v>
      </c>
      <c r="B18" t="s">
        <v>1521</v>
      </c>
      <c r="C18" s="5" t="str">
        <f>Metabolites!F114</f>
        <v>C6H11O9P</v>
      </c>
      <c r="D18" s="5">
        <f>Metabolites!G114</f>
        <v>6</v>
      </c>
      <c r="E18" s="5">
        <f>Metabolites!H114</f>
        <v>11</v>
      </c>
      <c r="F18" s="5">
        <f>Metabolites!I114</f>
        <v>0</v>
      </c>
      <c r="G18" s="5">
        <f>Metabolites!J114</f>
        <v>9</v>
      </c>
      <c r="H18" s="5">
        <f>Metabolites!K114</f>
        <v>1</v>
      </c>
      <c r="I18" s="5">
        <f>Metabolites!L114</f>
        <v>0</v>
      </c>
      <c r="J18" s="5">
        <f>Metabolites!M114</f>
        <v>24</v>
      </c>
      <c r="K18" s="5">
        <f>(D18*12.01)+(E18*1.008)+(F18*14.01)+(G18*16)+(H18*30.97)+(I18*32.07)</f>
        <v>258.11799999999999</v>
      </c>
      <c r="L18" s="5">
        <v>1</v>
      </c>
      <c r="M18" s="5">
        <f>K18*L18</f>
        <v>258.11799999999999</v>
      </c>
      <c r="N18" s="5">
        <f>D18*$L18</f>
        <v>6</v>
      </c>
      <c r="O18" s="5">
        <f>E18*L18</f>
        <v>11</v>
      </c>
      <c r="P18" s="5">
        <f>F18*L18</f>
        <v>0</v>
      </c>
      <c r="Q18" s="5">
        <f>G18*L18</f>
        <v>9</v>
      </c>
      <c r="R18" s="5">
        <f>H18*L18</f>
        <v>1</v>
      </c>
      <c r="S18" s="5">
        <f>I18*L18</f>
        <v>0</v>
      </c>
      <c r="T18" s="5">
        <f>J18*L18</f>
        <v>24</v>
      </c>
      <c r="X18" s="1" t="s">
        <v>36</v>
      </c>
    </row>
    <row r="19" spans="1:24" x14ac:dyDescent="0.25">
      <c r="B19" s="5" t="s">
        <v>2092</v>
      </c>
      <c r="C19" s="3" t="str">
        <f>Metabolites!F231</f>
        <v>HO4P</v>
      </c>
      <c r="D19" s="3">
        <f>Metabolites!G231</f>
        <v>0</v>
      </c>
      <c r="E19" s="3">
        <f>Metabolites!H231</f>
        <v>1</v>
      </c>
      <c r="F19" s="3">
        <f>Metabolites!I231</f>
        <v>0</v>
      </c>
      <c r="G19" s="3">
        <f>Metabolites!J231</f>
        <v>4</v>
      </c>
      <c r="H19" s="3">
        <f>Metabolites!K231</f>
        <v>1</v>
      </c>
      <c r="I19" s="3">
        <f>Metabolites!L231</f>
        <v>0</v>
      </c>
      <c r="J19" s="3">
        <f>Metabolites!M231</f>
        <v>0</v>
      </c>
      <c r="K19" s="5">
        <f>(D19*12.01)+(E19*1.008)+(F19*14.01)+(G19*16)+(H19*30.97)+(I19*32.07)</f>
        <v>95.977999999999994</v>
      </c>
      <c r="L19" s="33">
        <v>-1</v>
      </c>
      <c r="M19" s="5">
        <f>K19*L19</f>
        <v>-95.977999999999994</v>
      </c>
      <c r="N19" s="5">
        <f>D19*$L19</f>
        <v>0</v>
      </c>
      <c r="O19" s="5">
        <f t="shared" ref="O19:T19" si="5">E19*$L19</f>
        <v>-1</v>
      </c>
      <c r="P19" s="5">
        <f t="shared" si="5"/>
        <v>0</v>
      </c>
      <c r="Q19" s="5">
        <f t="shared" si="5"/>
        <v>-4</v>
      </c>
      <c r="R19" s="5">
        <f t="shared" si="5"/>
        <v>-1</v>
      </c>
      <c r="S19" s="5">
        <f t="shared" si="5"/>
        <v>0</v>
      </c>
      <c r="T19" s="5">
        <f t="shared" si="5"/>
        <v>0</v>
      </c>
    </row>
    <row r="20" spans="1:24" x14ac:dyDescent="0.25">
      <c r="B20"/>
      <c r="M20" s="5">
        <f>SUM(M18:M19)</f>
        <v>162.13999999999999</v>
      </c>
      <c r="N20" s="5">
        <f t="shared" ref="N20:T20" si="6">SUM(N18:N19)</f>
        <v>6</v>
      </c>
      <c r="O20" s="5">
        <f t="shared" si="6"/>
        <v>10</v>
      </c>
      <c r="P20" s="5">
        <f t="shared" si="6"/>
        <v>0</v>
      </c>
      <c r="Q20" s="5">
        <f t="shared" si="6"/>
        <v>5</v>
      </c>
      <c r="R20" s="5">
        <f t="shared" si="6"/>
        <v>0</v>
      </c>
      <c r="S20" s="5">
        <f t="shared" si="6"/>
        <v>0</v>
      </c>
      <c r="T20" s="5">
        <f t="shared" si="6"/>
        <v>24</v>
      </c>
      <c r="X20" s="1"/>
    </row>
    <row r="21" spans="1:24" x14ac:dyDescent="0.25">
      <c r="B21"/>
      <c r="X21" s="1"/>
    </row>
    <row r="22" spans="1:24" x14ac:dyDescent="0.25">
      <c r="A22" s="5" t="s">
        <v>1712</v>
      </c>
      <c r="B22" s="5" t="s">
        <v>1570</v>
      </c>
      <c r="C22" s="5" t="str">
        <f>Metabolites!F145</f>
        <v>C3H7NO2</v>
      </c>
      <c r="D22" s="5">
        <f>Metabolites!G145</f>
        <v>3</v>
      </c>
      <c r="E22" s="5">
        <f>Metabolites!H145</f>
        <v>7</v>
      </c>
      <c r="F22" s="5">
        <f>Metabolites!I145</f>
        <v>1</v>
      </c>
      <c r="G22" s="5">
        <f>Metabolites!J145</f>
        <v>2</v>
      </c>
      <c r="H22" s="5">
        <f>Metabolites!K145</f>
        <v>0</v>
      </c>
      <c r="I22" s="5">
        <f>Metabolites!L145</f>
        <v>0</v>
      </c>
      <c r="J22" s="5">
        <f>Metabolites!M145</f>
        <v>12</v>
      </c>
      <c r="K22" s="5">
        <f>(D22*12.01)+(E22*1.008)+(F22*14.01)+(G22*16)+(H22*30.97)+(I22*32.07)</f>
        <v>89.096000000000004</v>
      </c>
      <c r="L22" s="5">
        <f t="shared" ref="L22:L40" si="7">C83</f>
        <v>5.7</v>
      </c>
      <c r="M22" s="5">
        <f t="shared" ref="M22:M43" si="8">K22*L22</f>
        <v>507.84720000000004</v>
      </c>
      <c r="N22" s="5">
        <f t="shared" ref="N22:N43" si="9">D22*$L22</f>
        <v>17.100000000000001</v>
      </c>
      <c r="O22" s="5">
        <f t="shared" ref="O22:O42" si="10">E22*$L22</f>
        <v>39.9</v>
      </c>
      <c r="P22" s="5">
        <f t="shared" ref="P22:P42" si="11">F22*$L22</f>
        <v>5.7</v>
      </c>
      <c r="Q22" s="5">
        <f t="shared" ref="Q22:Q42" si="12">G22*$L22</f>
        <v>11.4</v>
      </c>
      <c r="R22" s="5">
        <f t="shared" ref="R22:R42" si="13">H22*$L22</f>
        <v>0</v>
      </c>
      <c r="S22" s="5">
        <f t="shared" ref="S22:S42" si="14">I22*L22</f>
        <v>0</v>
      </c>
      <c r="T22" s="5">
        <f t="shared" ref="T22:T42" si="15">J22*L22</f>
        <v>68.400000000000006</v>
      </c>
      <c r="U22" s="5" t="s">
        <v>1737</v>
      </c>
      <c r="V22" s="5">
        <v>100</v>
      </c>
      <c r="W22" s="5" t="s">
        <v>1757</v>
      </c>
    </row>
    <row r="23" spans="1:24" x14ac:dyDescent="0.25">
      <c r="B23" s="5" t="s">
        <v>1582</v>
      </c>
      <c r="C23" s="5" t="str">
        <f>Metabolites!F155</f>
        <v>C3H7NO2S</v>
      </c>
      <c r="D23" s="5">
        <f>Metabolites!G155</f>
        <v>3</v>
      </c>
      <c r="E23" s="5">
        <f>Metabolites!H155</f>
        <v>7</v>
      </c>
      <c r="F23" s="5">
        <f>Metabolites!I155</f>
        <v>1</v>
      </c>
      <c r="G23" s="5">
        <f>Metabolites!J155</f>
        <v>2</v>
      </c>
      <c r="H23" s="5">
        <f>Metabolites!K155</f>
        <v>0</v>
      </c>
      <c r="I23" s="5">
        <f>Metabolites!L155</f>
        <v>1</v>
      </c>
      <c r="J23" s="5">
        <f>Metabolites!M155</f>
        <v>10</v>
      </c>
      <c r="K23" s="5">
        <f t="shared" ref="K23:K42" si="16">(D23*12.01)+(E23*1.008)+(F23*14.01)+(G23*16)+(H23*30.97)+(I23*32.07)</f>
        <v>121.166</v>
      </c>
      <c r="L23" s="5">
        <f t="shared" si="7"/>
        <v>0.8</v>
      </c>
      <c r="M23" s="5">
        <f t="shared" si="8"/>
        <v>96.9328</v>
      </c>
      <c r="N23" s="5">
        <f t="shared" si="9"/>
        <v>2.4000000000000004</v>
      </c>
      <c r="O23" s="5">
        <f t="shared" si="10"/>
        <v>5.6000000000000005</v>
      </c>
      <c r="P23" s="5">
        <f t="shared" si="11"/>
        <v>0.8</v>
      </c>
      <c r="Q23" s="5">
        <f t="shared" si="12"/>
        <v>1.6</v>
      </c>
      <c r="R23" s="5">
        <f t="shared" si="13"/>
        <v>0</v>
      </c>
      <c r="S23" s="5">
        <f t="shared" si="14"/>
        <v>0.8</v>
      </c>
      <c r="T23" s="5">
        <f t="shared" si="15"/>
        <v>8</v>
      </c>
      <c r="U23" s="5" t="s">
        <v>1738</v>
      </c>
      <c r="V23" s="5">
        <v>198</v>
      </c>
      <c r="W23" s="5" t="s">
        <v>1758</v>
      </c>
    </row>
    <row r="24" spans="1:24" x14ac:dyDescent="0.25">
      <c r="B24" s="5" t="s">
        <v>1578</v>
      </c>
      <c r="C24" s="5" t="str">
        <f>Metabolites!F152</f>
        <v>C4H6NO4</v>
      </c>
      <c r="D24" s="5">
        <f>Metabolites!G152</f>
        <v>4</v>
      </c>
      <c r="E24" s="5">
        <f>Metabolites!H152</f>
        <v>6</v>
      </c>
      <c r="F24" s="5">
        <f>Metabolites!I152</f>
        <v>1</v>
      </c>
      <c r="G24" s="5">
        <f>Metabolites!J152</f>
        <v>4</v>
      </c>
      <c r="H24" s="5">
        <f>Metabolites!K152</f>
        <v>0</v>
      </c>
      <c r="I24" s="5">
        <f>Metabolites!L152</f>
        <v>0</v>
      </c>
      <c r="J24" s="5">
        <f>Metabolites!M152</f>
        <v>12</v>
      </c>
      <c r="K24" s="5">
        <f t="shared" si="16"/>
        <v>132.09800000000001</v>
      </c>
      <c r="L24" s="5">
        <f t="shared" si="7"/>
        <v>4.4000000000000004</v>
      </c>
      <c r="M24" s="5">
        <f t="shared" si="8"/>
        <v>581.23120000000006</v>
      </c>
      <c r="N24" s="5">
        <f t="shared" si="9"/>
        <v>17.600000000000001</v>
      </c>
      <c r="O24" s="5">
        <f t="shared" si="10"/>
        <v>26.400000000000002</v>
      </c>
      <c r="P24" s="5">
        <f t="shared" si="11"/>
        <v>4.4000000000000004</v>
      </c>
      <c r="Q24" s="5">
        <f t="shared" si="12"/>
        <v>17.600000000000001</v>
      </c>
      <c r="R24" s="5">
        <f t="shared" si="13"/>
        <v>0</v>
      </c>
      <c r="S24" s="5">
        <f t="shared" si="14"/>
        <v>0</v>
      </c>
      <c r="T24" s="5">
        <f t="shared" si="15"/>
        <v>52.800000000000004</v>
      </c>
      <c r="U24" s="5" t="s">
        <v>1739</v>
      </c>
      <c r="V24" s="5">
        <v>199</v>
      </c>
      <c r="W24" s="5" t="s">
        <v>1759</v>
      </c>
    </row>
    <row r="25" spans="1:24" x14ac:dyDescent="0.25">
      <c r="B25" s="5" t="s">
        <v>1583</v>
      </c>
      <c r="C25" s="5" t="str">
        <f>Metabolites!F157</f>
        <v>C5H8NO4</v>
      </c>
      <c r="D25" s="5">
        <f>Metabolites!G157</f>
        <v>5</v>
      </c>
      <c r="E25" s="5">
        <f>Metabolites!H157</f>
        <v>8</v>
      </c>
      <c r="F25" s="5">
        <f>Metabolites!I157</f>
        <v>1</v>
      </c>
      <c r="G25" s="5">
        <f>Metabolites!J157</f>
        <v>4</v>
      </c>
      <c r="H25" s="5">
        <f>Metabolites!K157</f>
        <v>0</v>
      </c>
      <c r="I25" s="5">
        <f>Metabolites!L157</f>
        <v>0</v>
      </c>
      <c r="J25" s="5">
        <f>Metabolites!M157</f>
        <v>18</v>
      </c>
      <c r="K25" s="5">
        <f t="shared" si="16"/>
        <v>146.12400000000002</v>
      </c>
      <c r="L25" s="5">
        <f t="shared" si="7"/>
        <v>7.4</v>
      </c>
      <c r="M25" s="5">
        <f t="shared" si="8"/>
        <v>1081.3176000000003</v>
      </c>
      <c r="N25" s="5">
        <f t="shared" si="9"/>
        <v>37</v>
      </c>
      <c r="O25" s="5">
        <f t="shared" si="10"/>
        <v>59.2</v>
      </c>
      <c r="P25" s="5">
        <f t="shared" si="11"/>
        <v>7.4</v>
      </c>
      <c r="Q25" s="5">
        <f t="shared" si="12"/>
        <v>29.6</v>
      </c>
      <c r="R25" s="5">
        <f t="shared" si="13"/>
        <v>0</v>
      </c>
      <c r="S25" s="5">
        <f t="shared" si="14"/>
        <v>0</v>
      </c>
      <c r="T25" s="5">
        <f t="shared" si="15"/>
        <v>133.20000000000002</v>
      </c>
      <c r="U25" s="5" t="s">
        <v>1740</v>
      </c>
      <c r="V25" s="5">
        <v>100</v>
      </c>
      <c r="W25" s="5" t="s">
        <v>1760</v>
      </c>
    </row>
    <row r="26" spans="1:24" x14ac:dyDescent="0.25">
      <c r="B26" s="5" t="s">
        <v>1068</v>
      </c>
      <c r="C26" s="5" t="str">
        <f>Metabolites!F179</f>
        <v>C9H11NO2</v>
      </c>
      <c r="D26" s="5">
        <f>Metabolites!G179</f>
        <v>9</v>
      </c>
      <c r="E26" s="5">
        <f>Metabolites!H179</f>
        <v>11</v>
      </c>
      <c r="F26" s="5">
        <f>Metabolites!I179</f>
        <v>1</v>
      </c>
      <c r="G26" s="5">
        <f>Metabolites!J179</f>
        <v>2</v>
      </c>
      <c r="H26" s="5">
        <f>Metabolites!K179</f>
        <v>0</v>
      </c>
      <c r="I26" s="5">
        <f>Metabolites!L179</f>
        <v>0</v>
      </c>
      <c r="J26" s="5">
        <f>Metabolites!M179</f>
        <v>40</v>
      </c>
      <c r="K26" s="5">
        <f t="shared" si="16"/>
        <v>165.18799999999999</v>
      </c>
      <c r="L26" s="5">
        <f t="shared" si="7"/>
        <v>5</v>
      </c>
      <c r="M26" s="5">
        <f t="shared" si="8"/>
        <v>825.93999999999994</v>
      </c>
      <c r="N26" s="5">
        <f t="shared" si="9"/>
        <v>45</v>
      </c>
      <c r="O26" s="5">
        <f t="shared" si="10"/>
        <v>55</v>
      </c>
      <c r="P26" s="5">
        <f t="shared" si="11"/>
        <v>5</v>
      </c>
      <c r="Q26" s="5">
        <f t="shared" si="12"/>
        <v>10</v>
      </c>
      <c r="R26" s="5">
        <f t="shared" si="13"/>
        <v>0</v>
      </c>
      <c r="S26" s="5">
        <f t="shared" si="14"/>
        <v>0</v>
      </c>
      <c r="T26" s="5">
        <f t="shared" si="15"/>
        <v>200</v>
      </c>
      <c r="U26" s="5" t="s">
        <v>1741</v>
      </c>
      <c r="V26" s="5">
        <v>198</v>
      </c>
      <c r="W26" s="5" t="s">
        <v>1761</v>
      </c>
    </row>
    <row r="27" spans="1:24" x14ac:dyDescent="0.25">
      <c r="B27" s="5" t="s">
        <v>753</v>
      </c>
      <c r="C27" s="5" t="str">
        <f>Metabolites!F117</f>
        <v>C2H5NO2</v>
      </c>
      <c r="D27" s="5">
        <f>Metabolites!G117</f>
        <v>2</v>
      </c>
      <c r="E27" s="5">
        <f>Metabolites!H117</f>
        <v>5</v>
      </c>
      <c r="F27" s="5">
        <f>Metabolites!I117</f>
        <v>1</v>
      </c>
      <c r="G27" s="5">
        <f>Metabolites!J117</f>
        <v>2</v>
      </c>
      <c r="H27" s="5">
        <f>Metabolites!K117</f>
        <v>0</v>
      </c>
      <c r="I27" s="5">
        <f>Metabolites!L117</f>
        <v>0</v>
      </c>
      <c r="J27" s="5">
        <f>Metabolites!M117</f>
        <v>6</v>
      </c>
      <c r="K27" s="5">
        <f t="shared" si="16"/>
        <v>75.069999999999993</v>
      </c>
      <c r="L27" s="5">
        <f t="shared" si="7"/>
        <v>5.9</v>
      </c>
      <c r="M27" s="5">
        <f t="shared" si="8"/>
        <v>442.91300000000001</v>
      </c>
      <c r="N27" s="5">
        <f t="shared" si="9"/>
        <v>11.8</v>
      </c>
      <c r="O27" s="5">
        <f t="shared" si="10"/>
        <v>29.5</v>
      </c>
      <c r="P27" s="5">
        <f t="shared" si="11"/>
        <v>5.9</v>
      </c>
      <c r="Q27" s="5">
        <f t="shared" si="12"/>
        <v>11.8</v>
      </c>
      <c r="R27" s="5">
        <f t="shared" si="13"/>
        <v>0</v>
      </c>
      <c r="S27" s="5">
        <f t="shared" si="14"/>
        <v>0</v>
      </c>
      <c r="T27" s="5">
        <f t="shared" si="15"/>
        <v>35.400000000000006</v>
      </c>
      <c r="U27" s="5" t="s">
        <v>1742</v>
      </c>
      <c r="V27" s="5">
        <v>1</v>
      </c>
      <c r="W27" s="5" t="s">
        <v>1762</v>
      </c>
    </row>
    <row r="28" spans="1:24" x14ac:dyDescent="0.25">
      <c r="B28" s="5" t="s">
        <v>1042</v>
      </c>
      <c r="C28" s="5" t="str">
        <f>Metabolites!F163</f>
        <v>C6H9N3O2</v>
      </c>
      <c r="D28" s="5">
        <f>Metabolites!G163</f>
        <v>6</v>
      </c>
      <c r="E28" s="5">
        <f>Metabolites!H163</f>
        <v>9</v>
      </c>
      <c r="F28" s="5">
        <f>Metabolites!I163</f>
        <v>3</v>
      </c>
      <c r="G28" s="5">
        <f>Metabolites!J163</f>
        <v>2</v>
      </c>
      <c r="H28" s="5">
        <f>Metabolites!K163</f>
        <v>0</v>
      </c>
      <c r="I28" s="5">
        <f>Metabolites!L163</f>
        <v>0</v>
      </c>
      <c r="J28" s="5">
        <f>Metabolites!M163</f>
        <v>20</v>
      </c>
      <c r="K28" s="5">
        <f t="shared" si="16"/>
        <v>155.16200000000001</v>
      </c>
      <c r="L28" s="5">
        <f t="shared" si="7"/>
        <v>1.4</v>
      </c>
      <c r="M28" s="5">
        <f t="shared" si="8"/>
        <v>217.2268</v>
      </c>
      <c r="N28" s="5">
        <f t="shared" si="9"/>
        <v>8.3999999999999986</v>
      </c>
      <c r="O28" s="5">
        <f t="shared" si="10"/>
        <v>12.6</v>
      </c>
      <c r="P28" s="5">
        <f t="shared" si="11"/>
        <v>4.1999999999999993</v>
      </c>
      <c r="Q28" s="5">
        <f t="shared" si="12"/>
        <v>2.8</v>
      </c>
      <c r="R28" s="5">
        <f t="shared" si="13"/>
        <v>0</v>
      </c>
      <c r="S28" s="5">
        <f t="shared" si="14"/>
        <v>0</v>
      </c>
      <c r="T28" s="5">
        <f t="shared" si="15"/>
        <v>28</v>
      </c>
      <c r="U28" s="5" t="s">
        <v>1743</v>
      </c>
      <c r="V28" s="5">
        <v>198</v>
      </c>
      <c r="W28" s="5" t="s">
        <v>1763</v>
      </c>
    </row>
    <row r="29" spans="1:24" x14ac:dyDescent="0.25">
      <c r="B29" s="5" t="s">
        <v>1054</v>
      </c>
      <c r="C29" s="5" t="str">
        <f>Metabolites!F169</f>
        <v>C6H13NO2</v>
      </c>
      <c r="D29" s="5">
        <f>Metabolites!G169</f>
        <v>6</v>
      </c>
      <c r="E29" s="5">
        <f>Metabolites!H169</f>
        <v>13</v>
      </c>
      <c r="F29" s="5">
        <f>Metabolites!I169</f>
        <v>1</v>
      </c>
      <c r="G29" s="5">
        <f>Metabolites!J169</f>
        <v>2</v>
      </c>
      <c r="H29" s="5">
        <f>Metabolites!K169</f>
        <v>0</v>
      </c>
      <c r="I29" s="5">
        <f>Metabolites!L169</f>
        <v>0</v>
      </c>
      <c r="J29" s="5">
        <f>Metabolites!M169</f>
        <v>30</v>
      </c>
      <c r="K29" s="5">
        <f t="shared" si="16"/>
        <v>131.17400000000001</v>
      </c>
      <c r="L29" s="5">
        <f t="shared" si="7"/>
        <v>10.6</v>
      </c>
      <c r="M29" s="5">
        <f t="shared" si="8"/>
        <v>1390.4444000000001</v>
      </c>
      <c r="N29" s="5">
        <f t="shared" si="9"/>
        <v>63.599999999999994</v>
      </c>
      <c r="O29" s="5">
        <f t="shared" si="10"/>
        <v>137.79999999999998</v>
      </c>
      <c r="P29" s="5">
        <f t="shared" si="11"/>
        <v>10.6</v>
      </c>
      <c r="Q29" s="5">
        <f t="shared" si="12"/>
        <v>21.2</v>
      </c>
      <c r="R29" s="5">
        <f t="shared" si="13"/>
        <v>0</v>
      </c>
      <c r="S29" s="5">
        <f t="shared" si="14"/>
        <v>0</v>
      </c>
      <c r="T29" s="5">
        <f t="shared" si="15"/>
        <v>318</v>
      </c>
      <c r="U29" s="5" t="s">
        <v>1744</v>
      </c>
      <c r="V29" s="5">
        <v>100</v>
      </c>
      <c r="W29" s="5" t="s">
        <v>1770</v>
      </c>
    </row>
    <row r="30" spans="1:24" x14ac:dyDescent="0.25">
      <c r="B30" s="5" t="s">
        <v>1059</v>
      </c>
      <c r="C30" s="5" t="str">
        <f>Metabolites!F174</f>
        <v>C6H15N2O2</v>
      </c>
      <c r="D30" s="5">
        <f>Metabolites!G174</f>
        <v>6</v>
      </c>
      <c r="E30" s="5">
        <f>Metabolites!H174</f>
        <v>15</v>
      </c>
      <c r="F30" s="5">
        <f>Metabolites!I174</f>
        <v>2</v>
      </c>
      <c r="G30" s="5">
        <f>Metabolites!J174</f>
        <v>2</v>
      </c>
      <c r="H30" s="5">
        <f>Metabolites!K174</f>
        <v>0</v>
      </c>
      <c r="I30" s="5">
        <f>Metabolites!L174</f>
        <v>0</v>
      </c>
      <c r="J30" s="5">
        <f>Metabolites!M174</f>
        <v>28</v>
      </c>
      <c r="K30" s="5">
        <f t="shared" si="16"/>
        <v>147.19999999999999</v>
      </c>
      <c r="L30" s="5">
        <f t="shared" si="7"/>
        <v>8.8000000000000007</v>
      </c>
      <c r="M30" s="5">
        <f t="shared" si="8"/>
        <v>1295.3599999999999</v>
      </c>
      <c r="N30" s="5">
        <f t="shared" si="9"/>
        <v>52.800000000000004</v>
      </c>
      <c r="O30" s="5">
        <f t="shared" si="10"/>
        <v>132</v>
      </c>
      <c r="P30" s="5">
        <f t="shared" si="11"/>
        <v>17.600000000000001</v>
      </c>
      <c r="Q30" s="5">
        <f t="shared" si="12"/>
        <v>17.600000000000001</v>
      </c>
      <c r="R30" s="5">
        <f t="shared" si="13"/>
        <v>0</v>
      </c>
      <c r="S30" s="5">
        <f t="shared" si="14"/>
        <v>0</v>
      </c>
      <c r="T30" s="5">
        <f t="shared" si="15"/>
        <v>246.40000000000003</v>
      </c>
      <c r="U30" s="5" t="s">
        <v>1745</v>
      </c>
      <c r="V30" s="5">
        <v>299</v>
      </c>
      <c r="W30" s="5" t="s">
        <v>1764</v>
      </c>
    </row>
    <row r="31" spans="1:24" x14ac:dyDescent="0.25">
      <c r="B31" s="5" t="s">
        <v>1057</v>
      </c>
      <c r="C31" s="5" t="str">
        <f>Metabolites!F172</f>
        <v>C6H13NO2</v>
      </c>
      <c r="D31" s="5">
        <f>Metabolites!G172</f>
        <v>6</v>
      </c>
      <c r="E31" s="5">
        <f>Metabolites!H172</f>
        <v>13</v>
      </c>
      <c r="F31" s="5">
        <f>Metabolites!I172</f>
        <v>1</v>
      </c>
      <c r="G31" s="5">
        <f>Metabolites!J172</f>
        <v>2</v>
      </c>
      <c r="H31" s="5">
        <f>Metabolites!K172</f>
        <v>0</v>
      </c>
      <c r="I31" s="5">
        <f>Metabolites!L172</f>
        <v>0</v>
      </c>
      <c r="J31" s="5">
        <f>Metabolites!M172</f>
        <v>30</v>
      </c>
      <c r="K31" s="5">
        <f t="shared" si="16"/>
        <v>131.17400000000001</v>
      </c>
      <c r="L31" s="5">
        <f t="shared" si="7"/>
        <v>10.199999999999999</v>
      </c>
      <c r="M31" s="5">
        <f t="shared" si="8"/>
        <v>1337.9748</v>
      </c>
      <c r="N31" s="5">
        <f t="shared" si="9"/>
        <v>61.199999999999996</v>
      </c>
      <c r="O31" s="5">
        <f t="shared" si="10"/>
        <v>132.6</v>
      </c>
      <c r="P31" s="5">
        <f t="shared" si="11"/>
        <v>10.199999999999999</v>
      </c>
      <c r="Q31" s="5">
        <f t="shared" si="12"/>
        <v>20.399999999999999</v>
      </c>
      <c r="R31" s="5">
        <f t="shared" si="13"/>
        <v>0</v>
      </c>
      <c r="S31" s="5">
        <f t="shared" si="14"/>
        <v>0</v>
      </c>
      <c r="T31" s="5">
        <f t="shared" si="15"/>
        <v>306</v>
      </c>
      <c r="U31" s="5" t="s">
        <v>1746</v>
      </c>
      <c r="W31" s="5" t="s">
        <v>1735</v>
      </c>
    </row>
    <row r="32" spans="1:24" x14ac:dyDescent="0.25">
      <c r="B32" s="5" t="s">
        <v>1065</v>
      </c>
      <c r="C32" s="5" t="str">
        <f>Metabolites!F177</f>
        <v>C5H11NO2S</v>
      </c>
      <c r="D32" s="5">
        <f>Metabolites!G177</f>
        <v>5</v>
      </c>
      <c r="E32" s="5">
        <f>Metabolites!H177</f>
        <v>11</v>
      </c>
      <c r="F32" s="5">
        <f>Metabolites!I177</f>
        <v>1</v>
      </c>
      <c r="G32" s="5">
        <f>Metabolites!J177</f>
        <v>2</v>
      </c>
      <c r="H32" s="5">
        <f>Metabolites!K177</f>
        <v>0</v>
      </c>
      <c r="I32" s="5">
        <f>Metabolites!L177</f>
        <v>1</v>
      </c>
      <c r="J32" s="5">
        <f>Metabolites!M177</f>
        <v>22</v>
      </c>
      <c r="K32" s="5">
        <f t="shared" si="16"/>
        <v>149.21800000000002</v>
      </c>
      <c r="L32" s="5">
        <f t="shared" si="7"/>
        <v>1.9</v>
      </c>
      <c r="M32" s="5">
        <f t="shared" si="8"/>
        <v>283.51420000000002</v>
      </c>
      <c r="N32" s="5">
        <f t="shared" si="9"/>
        <v>9.5</v>
      </c>
      <c r="O32" s="5">
        <f t="shared" si="10"/>
        <v>20.9</v>
      </c>
      <c r="P32" s="5">
        <f t="shared" si="11"/>
        <v>1.9</v>
      </c>
      <c r="Q32" s="5">
        <f t="shared" si="12"/>
        <v>3.8</v>
      </c>
      <c r="R32" s="5">
        <f t="shared" si="13"/>
        <v>0</v>
      </c>
      <c r="S32" s="5">
        <f t="shared" si="14"/>
        <v>1.9</v>
      </c>
      <c r="T32" s="5">
        <f t="shared" si="15"/>
        <v>41.8</v>
      </c>
      <c r="U32" s="5" t="s">
        <v>1747</v>
      </c>
      <c r="W32" s="5" t="s">
        <v>1736</v>
      </c>
    </row>
    <row r="33" spans="1:27" x14ac:dyDescent="0.25">
      <c r="B33" s="5" t="s">
        <v>1577</v>
      </c>
      <c r="C33" s="5" t="str">
        <f>Metabolites!F150</f>
        <v>C4H8N2O3</v>
      </c>
      <c r="D33" s="5">
        <f>Metabolites!G150</f>
        <v>4</v>
      </c>
      <c r="E33" s="5">
        <f>Metabolites!H150</f>
        <v>8</v>
      </c>
      <c r="F33" s="5">
        <f>Metabolites!I150</f>
        <v>2</v>
      </c>
      <c r="G33" s="5">
        <f>Metabolites!J150</f>
        <v>3</v>
      </c>
      <c r="H33" s="5">
        <f>Metabolites!K150</f>
        <v>0</v>
      </c>
      <c r="I33" s="5">
        <f>Metabolites!L150</f>
        <v>0</v>
      </c>
      <c r="J33" s="5">
        <f>Metabolites!M150</f>
        <v>12</v>
      </c>
      <c r="K33" s="5">
        <f t="shared" si="16"/>
        <v>132.124</v>
      </c>
      <c r="L33" s="5">
        <f t="shared" si="7"/>
        <v>5.4</v>
      </c>
      <c r="M33" s="5">
        <f t="shared" si="8"/>
        <v>713.46960000000001</v>
      </c>
      <c r="N33" s="5">
        <f t="shared" si="9"/>
        <v>21.6</v>
      </c>
      <c r="O33" s="5">
        <f t="shared" si="10"/>
        <v>43.2</v>
      </c>
      <c r="P33" s="5">
        <f t="shared" si="11"/>
        <v>10.8</v>
      </c>
      <c r="Q33" s="5">
        <f t="shared" si="12"/>
        <v>16.200000000000003</v>
      </c>
      <c r="R33" s="5">
        <f t="shared" si="13"/>
        <v>0</v>
      </c>
      <c r="S33" s="5">
        <f t="shared" si="14"/>
        <v>0</v>
      </c>
      <c r="T33" s="5">
        <f t="shared" si="15"/>
        <v>64.800000000000011</v>
      </c>
      <c r="U33" s="5" t="s">
        <v>1748</v>
      </c>
    </row>
    <row r="34" spans="1:27" x14ac:dyDescent="0.25">
      <c r="B34" s="5" t="s">
        <v>1071</v>
      </c>
      <c r="C34" s="5" t="str">
        <f>Metabolites!F181</f>
        <v>C5H9NO2</v>
      </c>
      <c r="D34" s="5">
        <f>Metabolites!G181</f>
        <v>5</v>
      </c>
      <c r="E34" s="5">
        <f>Metabolites!H181</f>
        <v>9</v>
      </c>
      <c r="F34" s="5">
        <f>Metabolites!I181</f>
        <v>1</v>
      </c>
      <c r="G34" s="5">
        <f>Metabolites!J181</f>
        <v>2</v>
      </c>
      <c r="H34" s="5">
        <f>Metabolites!K181</f>
        <v>0</v>
      </c>
      <c r="I34" s="5">
        <f>Metabolites!L181</f>
        <v>0</v>
      </c>
      <c r="J34" s="5">
        <f>Metabolites!M181</f>
        <v>22</v>
      </c>
      <c r="K34" s="5">
        <f t="shared" si="16"/>
        <v>115.13200000000001</v>
      </c>
      <c r="L34" s="5">
        <f t="shared" si="7"/>
        <v>3.6</v>
      </c>
      <c r="M34" s="5">
        <f t="shared" si="8"/>
        <v>414.47520000000003</v>
      </c>
      <c r="N34" s="5">
        <f t="shared" si="9"/>
        <v>18</v>
      </c>
      <c r="O34" s="5">
        <f t="shared" si="10"/>
        <v>32.4</v>
      </c>
      <c r="P34" s="5">
        <f t="shared" si="11"/>
        <v>3.6</v>
      </c>
      <c r="Q34" s="5">
        <f t="shared" si="12"/>
        <v>7.2</v>
      </c>
      <c r="R34" s="5">
        <f t="shared" si="13"/>
        <v>0</v>
      </c>
      <c r="S34" s="5">
        <f t="shared" si="14"/>
        <v>0</v>
      </c>
      <c r="T34" s="5">
        <f t="shared" si="15"/>
        <v>79.2</v>
      </c>
      <c r="U34" s="5" t="s">
        <v>1749</v>
      </c>
    </row>
    <row r="35" spans="1:27" x14ac:dyDescent="0.25">
      <c r="B35" s="5" t="s">
        <v>1587</v>
      </c>
      <c r="C35" s="5" t="str">
        <f>Metabolites!F160</f>
        <v>C5H10N2O3</v>
      </c>
      <c r="D35" s="5">
        <f>Metabolites!G160</f>
        <v>5</v>
      </c>
      <c r="E35" s="5">
        <f>Metabolites!H160</f>
        <v>10</v>
      </c>
      <c r="F35" s="5">
        <f>Metabolites!I160</f>
        <v>2</v>
      </c>
      <c r="G35" s="5">
        <f>Metabolites!J160</f>
        <v>3</v>
      </c>
      <c r="H35" s="5">
        <f>Metabolites!K160</f>
        <v>0</v>
      </c>
      <c r="I35" s="5">
        <f>Metabolites!L160</f>
        <v>0</v>
      </c>
      <c r="J35" s="5">
        <f>Metabolites!M160</f>
        <v>18</v>
      </c>
      <c r="K35" s="5">
        <f t="shared" si="16"/>
        <v>146.14999999999998</v>
      </c>
      <c r="L35" s="5">
        <f t="shared" si="7"/>
        <v>2</v>
      </c>
      <c r="M35" s="5">
        <f t="shared" si="8"/>
        <v>292.29999999999995</v>
      </c>
      <c r="N35" s="5">
        <f t="shared" si="9"/>
        <v>10</v>
      </c>
      <c r="O35" s="5">
        <f t="shared" si="10"/>
        <v>20</v>
      </c>
      <c r="P35" s="5">
        <f t="shared" si="11"/>
        <v>4</v>
      </c>
      <c r="Q35" s="5">
        <f t="shared" si="12"/>
        <v>6</v>
      </c>
      <c r="R35" s="5">
        <f t="shared" si="13"/>
        <v>0</v>
      </c>
      <c r="S35" s="5">
        <f t="shared" si="14"/>
        <v>0</v>
      </c>
      <c r="T35" s="5">
        <f t="shared" si="15"/>
        <v>36</v>
      </c>
      <c r="U35" s="5" t="s">
        <v>1750</v>
      </c>
    </row>
    <row r="36" spans="1:27" x14ac:dyDescent="0.25">
      <c r="B36" s="5" t="s">
        <v>1571</v>
      </c>
      <c r="C36" s="5" t="str">
        <f>Metabolites!F147</f>
        <v>C6H15N4O2</v>
      </c>
      <c r="D36" s="5">
        <f>Metabolites!G147</f>
        <v>6</v>
      </c>
      <c r="E36" s="5">
        <f>Metabolites!H147</f>
        <v>15</v>
      </c>
      <c r="F36" s="5">
        <f>Metabolites!I147</f>
        <v>4</v>
      </c>
      <c r="G36" s="5">
        <f>Metabolites!J147</f>
        <v>2</v>
      </c>
      <c r="H36" s="5">
        <f>Metabolites!K147</f>
        <v>0</v>
      </c>
      <c r="I36" s="5">
        <f>Metabolites!L147</f>
        <v>0</v>
      </c>
      <c r="J36" s="5">
        <f>Metabolites!M147</f>
        <v>22</v>
      </c>
      <c r="K36" s="5">
        <f t="shared" si="16"/>
        <v>175.22</v>
      </c>
      <c r="L36" s="5">
        <f t="shared" si="7"/>
        <v>4.0999999999999996</v>
      </c>
      <c r="M36" s="5">
        <f t="shared" si="8"/>
        <v>718.40199999999993</v>
      </c>
      <c r="N36" s="5">
        <f t="shared" si="9"/>
        <v>24.599999999999998</v>
      </c>
      <c r="O36" s="5">
        <f t="shared" si="10"/>
        <v>61.499999999999993</v>
      </c>
      <c r="P36" s="5">
        <f t="shared" si="11"/>
        <v>16.399999999999999</v>
      </c>
      <c r="Q36" s="5">
        <f t="shared" si="12"/>
        <v>8.1999999999999993</v>
      </c>
      <c r="R36" s="5">
        <f t="shared" si="13"/>
        <v>0</v>
      </c>
      <c r="S36" s="5">
        <f t="shared" si="14"/>
        <v>0</v>
      </c>
      <c r="T36" s="5">
        <f t="shared" si="15"/>
        <v>90.199999999999989</v>
      </c>
      <c r="U36" s="5" t="s">
        <v>1751</v>
      </c>
    </row>
    <row r="37" spans="1:27" x14ac:dyDescent="0.25">
      <c r="B37" s="5" t="s">
        <v>1074</v>
      </c>
      <c r="C37" s="5" t="str">
        <f>Metabolites!F183</f>
        <v>C3H7NO3</v>
      </c>
      <c r="D37" s="5">
        <f>Metabolites!G183</f>
        <v>3</v>
      </c>
      <c r="E37" s="5">
        <f>Metabolites!H183</f>
        <v>7</v>
      </c>
      <c r="F37" s="5">
        <f>Metabolites!I183</f>
        <v>1</v>
      </c>
      <c r="G37" s="5">
        <f>Metabolites!J183</f>
        <v>3</v>
      </c>
      <c r="H37" s="5">
        <f>Metabolites!K183</f>
        <v>0</v>
      </c>
      <c r="I37" s="5">
        <f>Metabolites!L183</f>
        <v>0</v>
      </c>
      <c r="J37" s="5">
        <f>Metabolites!M183</f>
        <v>10</v>
      </c>
      <c r="K37" s="5">
        <f t="shared" si="16"/>
        <v>105.096</v>
      </c>
      <c r="L37" s="5">
        <f t="shared" si="7"/>
        <v>6.5</v>
      </c>
      <c r="M37" s="5">
        <f t="shared" si="8"/>
        <v>683.12400000000002</v>
      </c>
      <c r="N37" s="5">
        <f t="shared" si="9"/>
        <v>19.5</v>
      </c>
      <c r="O37" s="5">
        <f t="shared" si="10"/>
        <v>45.5</v>
      </c>
      <c r="P37" s="5">
        <f t="shared" si="11"/>
        <v>6.5</v>
      </c>
      <c r="Q37" s="5">
        <f t="shared" si="12"/>
        <v>19.5</v>
      </c>
      <c r="R37" s="5">
        <f t="shared" si="13"/>
        <v>0</v>
      </c>
      <c r="S37" s="5">
        <f t="shared" si="14"/>
        <v>0</v>
      </c>
      <c r="T37" s="5">
        <f t="shared" si="15"/>
        <v>65</v>
      </c>
      <c r="U37" s="5" t="s">
        <v>1752</v>
      </c>
    </row>
    <row r="38" spans="1:27" x14ac:dyDescent="0.25">
      <c r="B38" s="5" t="s">
        <v>1077</v>
      </c>
      <c r="C38" s="5" t="str">
        <f>Metabolites!F185</f>
        <v>C4H9NO3</v>
      </c>
      <c r="D38" s="5">
        <f>Metabolites!G185</f>
        <v>4</v>
      </c>
      <c r="E38" s="5">
        <f>Metabolites!H185</f>
        <v>9</v>
      </c>
      <c r="F38" s="5">
        <f>Metabolites!I185</f>
        <v>1</v>
      </c>
      <c r="G38" s="5">
        <f>Metabolites!J185</f>
        <v>3</v>
      </c>
      <c r="H38" s="5">
        <f>Metabolites!K185</f>
        <v>0</v>
      </c>
      <c r="I38" s="5">
        <f>Metabolites!L185</f>
        <v>0</v>
      </c>
      <c r="J38" s="5">
        <f>Metabolites!M185</f>
        <v>16</v>
      </c>
      <c r="K38" s="5">
        <f t="shared" si="16"/>
        <v>119.122</v>
      </c>
      <c r="L38" s="5">
        <f t="shared" si="7"/>
        <v>4.2</v>
      </c>
      <c r="M38" s="5">
        <f t="shared" si="8"/>
        <v>500.31240000000003</v>
      </c>
      <c r="N38" s="5">
        <f t="shared" si="9"/>
        <v>16.8</v>
      </c>
      <c r="O38" s="5">
        <f t="shared" si="10"/>
        <v>37.800000000000004</v>
      </c>
      <c r="P38" s="5">
        <f t="shared" si="11"/>
        <v>4.2</v>
      </c>
      <c r="Q38" s="5">
        <f t="shared" si="12"/>
        <v>12.600000000000001</v>
      </c>
      <c r="R38" s="5">
        <f t="shared" si="13"/>
        <v>0</v>
      </c>
      <c r="S38" s="5">
        <f t="shared" si="14"/>
        <v>0</v>
      </c>
      <c r="T38" s="5">
        <f t="shared" si="15"/>
        <v>67.2</v>
      </c>
      <c r="U38" s="5" t="s">
        <v>1753</v>
      </c>
      <c r="Z38" s="5" t="s">
        <v>2091</v>
      </c>
    </row>
    <row r="39" spans="1:27" x14ac:dyDescent="0.25">
      <c r="B39" s="5" t="s">
        <v>1085</v>
      </c>
      <c r="C39" s="5" t="str">
        <f>Metabolites!F191</f>
        <v>C5H11NO2</v>
      </c>
      <c r="D39" s="5">
        <f>Metabolites!G191</f>
        <v>5</v>
      </c>
      <c r="E39" s="5">
        <f>Metabolites!H191</f>
        <v>11</v>
      </c>
      <c r="F39" s="5">
        <f>Metabolites!I191</f>
        <v>1</v>
      </c>
      <c r="G39" s="5">
        <f>Metabolites!J191</f>
        <v>2</v>
      </c>
      <c r="H39" s="5">
        <f>Metabolites!K191</f>
        <v>0</v>
      </c>
      <c r="I39" s="5">
        <f>Metabolites!L191</f>
        <v>0</v>
      </c>
      <c r="J39" s="5">
        <f>Metabolites!M191</f>
        <v>24</v>
      </c>
      <c r="K39" s="5">
        <f t="shared" si="16"/>
        <v>117.14800000000001</v>
      </c>
      <c r="L39" s="5">
        <f t="shared" si="7"/>
        <v>6.3</v>
      </c>
      <c r="M39" s="5">
        <f t="shared" si="8"/>
        <v>738.03240000000005</v>
      </c>
      <c r="N39" s="5">
        <f t="shared" si="9"/>
        <v>31.5</v>
      </c>
      <c r="O39" s="5">
        <f t="shared" si="10"/>
        <v>69.3</v>
      </c>
      <c r="P39" s="5">
        <f t="shared" si="11"/>
        <v>6.3</v>
      </c>
      <c r="Q39" s="5">
        <f t="shared" si="12"/>
        <v>12.6</v>
      </c>
      <c r="R39" s="5">
        <f t="shared" si="13"/>
        <v>0</v>
      </c>
      <c r="S39" s="5">
        <f t="shared" si="14"/>
        <v>0</v>
      </c>
      <c r="T39" s="5">
        <f t="shared" si="15"/>
        <v>151.19999999999999</v>
      </c>
      <c r="U39" s="5" t="s">
        <v>1754</v>
      </c>
    </row>
    <row r="40" spans="1:27" x14ac:dyDescent="0.25">
      <c r="B40" s="5" t="s">
        <v>1079</v>
      </c>
      <c r="C40" s="5" t="str">
        <f>Metabolites!F187</f>
        <v>C11H12N2O2</v>
      </c>
      <c r="D40" s="5">
        <f>Metabolites!G187</f>
        <v>11</v>
      </c>
      <c r="E40" s="5">
        <f>Metabolites!H187</f>
        <v>12</v>
      </c>
      <c r="F40" s="5">
        <f>Metabolites!I187</f>
        <v>2</v>
      </c>
      <c r="G40" s="5">
        <f>Metabolites!J187</f>
        <v>2</v>
      </c>
      <c r="H40" s="5">
        <f>Metabolites!K187</f>
        <v>0</v>
      </c>
      <c r="I40" s="5">
        <f>Metabolites!L187</f>
        <v>0</v>
      </c>
      <c r="J40" s="5">
        <f>Metabolites!M187</f>
        <v>46</v>
      </c>
      <c r="K40" s="5">
        <f t="shared" si="16"/>
        <v>204.226</v>
      </c>
      <c r="L40" s="5">
        <f t="shared" si="7"/>
        <v>0.9</v>
      </c>
      <c r="M40" s="5">
        <f t="shared" si="8"/>
        <v>183.80340000000001</v>
      </c>
      <c r="N40" s="5">
        <f t="shared" si="9"/>
        <v>9.9</v>
      </c>
      <c r="O40" s="5">
        <f t="shared" si="10"/>
        <v>10.8</v>
      </c>
      <c r="P40" s="5">
        <f t="shared" si="11"/>
        <v>1.8</v>
      </c>
      <c r="Q40" s="5">
        <f t="shared" si="12"/>
        <v>1.8</v>
      </c>
      <c r="R40" s="5">
        <f t="shared" si="13"/>
        <v>0</v>
      </c>
      <c r="S40" s="5">
        <f t="shared" si="14"/>
        <v>0</v>
      </c>
      <c r="T40" s="5">
        <f t="shared" si="15"/>
        <v>41.4</v>
      </c>
      <c r="U40" s="5" t="s">
        <v>1755</v>
      </c>
    </row>
    <row r="41" spans="1:27" x14ac:dyDescent="0.25">
      <c r="B41" s="5" t="s">
        <v>1082</v>
      </c>
      <c r="C41" s="5" t="str">
        <f>Metabolites!F189</f>
        <v>C9H11NO3</v>
      </c>
      <c r="D41" s="5">
        <f>Metabolites!G189</f>
        <v>9</v>
      </c>
      <c r="E41" s="5">
        <f>Metabolites!H189</f>
        <v>11</v>
      </c>
      <c r="F41" s="5">
        <f>Metabolites!I189</f>
        <v>1</v>
      </c>
      <c r="G41" s="5">
        <f>Metabolites!J189</f>
        <v>3</v>
      </c>
      <c r="H41" s="5">
        <f>Metabolites!K189</f>
        <v>0</v>
      </c>
      <c r="I41" s="5">
        <f>Metabolites!L189</f>
        <v>0</v>
      </c>
      <c r="J41" s="5">
        <f>Metabolites!M189</f>
        <v>38</v>
      </c>
      <c r="K41" s="5">
        <f t="shared" si="16"/>
        <v>181.18799999999999</v>
      </c>
      <c r="L41" s="5">
        <f>C103</f>
        <v>4.5999999999999996</v>
      </c>
      <c r="M41" s="5">
        <f t="shared" si="8"/>
        <v>833.46479999999985</v>
      </c>
      <c r="N41" s="5">
        <f t="shared" si="9"/>
        <v>41.4</v>
      </c>
      <c r="O41" s="5">
        <f t="shared" si="10"/>
        <v>50.599999999999994</v>
      </c>
      <c r="P41" s="5">
        <f t="shared" si="11"/>
        <v>4.5999999999999996</v>
      </c>
      <c r="Q41" s="5">
        <f t="shared" si="12"/>
        <v>13.799999999999999</v>
      </c>
      <c r="R41" s="5">
        <f t="shared" si="13"/>
        <v>0</v>
      </c>
      <c r="S41" s="5">
        <f t="shared" si="14"/>
        <v>0</v>
      </c>
      <c r="T41" s="5">
        <f t="shared" si="15"/>
        <v>174.79999999999998</v>
      </c>
      <c r="U41" s="5" t="s">
        <v>1756</v>
      </c>
    </row>
    <row r="42" spans="1:27" x14ac:dyDescent="0.25">
      <c r="B42" s="5" t="s">
        <v>1711</v>
      </c>
      <c r="C42" s="5" t="str">
        <f>Metabolites!F125</f>
        <v>H2O</v>
      </c>
      <c r="D42" s="5">
        <f>Metabolites!G125</f>
        <v>0</v>
      </c>
      <c r="E42" s="5">
        <f>Metabolites!H125</f>
        <v>2</v>
      </c>
      <c r="F42" s="5">
        <f>Metabolites!I125</f>
        <v>0</v>
      </c>
      <c r="G42" s="5">
        <f>Metabolites!J125</f>
        <v>1</v>
      </c>
      <c r="H42" s="5">
        <f>Metabolites!K125</f>
        <v>0</v>
      </c>
      <c r="I42" s="5">
        <f>Metabolites!L125</f>
        <v>0</v>
      </c>
      <c r="J42" s="5">
        <f>Metabolites!M125</f>
        <v>0</v>
      </c>
      <c r="K42" s="5">
        <f t="shared" si="16"/>
        <v>18.015999999999998</v>
      </c>
      <c r="L42" s="5">
        <v>-99</v>
      </c>
      <c r="M42" s="5">
        <f t="shared" si="8"/>
        <v>-1783.5839999999998</v>
      </c>
      <c r="N42" s="5">
        <f t="shared" si="9"/>
        <v>0</v>
      </c>
      <c r="O42" s="5">
        <f t="shared" si="10"/>
        <v>-198</v>
      </c>
      <c r="P42" s="5">
        <f t="shared" si="11"/>
        <v>0</v>
      </c>
      <c r="Q42" s="5">
        <f t="shared" si="12"/>
        <v>-99</v>
      </c>
      <c r="R42" s="5">
        <f t="shared" si="13"/>
        <v>0</v>
      </c>
      <c r="S42" s="5">
        <f t="shared" si="14"/>
        <v>0</v>
      </c>
      <c r="T42" s="5">
        <f t="shared" si="15"/>
        <v>0</v>
      </c>
    </row>
    <row r="43" spans="1:27" x14ac:dyDescent="0.25">
      <c r="B43" s="5" t="s">
        <v>1164</v>
      </c>
      <c r="C43" s="3" t="s">
        <v>1164</v>
      </c>
      <c r="D43" s="3"/>
      <c r="E43" s="3">
        <v>1</v>
      </c>
      <c r="G43" s="3"/>
      <c r="H43" s="3"/>
      <c r="I43" s="3"/>
      <c r="K43" s="5">
        <v>1</v>
      </c>
      <c r="L43" s="5">
        <v>-1</v>
      </c>
      <c r="M43" s="5">
        <f t="shared" si="8"/>
        <v>-1</v>
      </c>
      <c r="N43" s="5">
        <f t="shared" si="9"/>
        <v>0</v>
      </c>
      <c r="O43" s="5">
        <f>E43*$L43</f>
        <v>-1</v>
      </c>
      <c r="P43" s="5">
        <f>F43*$L43</f>
        <v>0</v>
      </c>
      <c r="Q43" s="5">
        <f>G43*$L43</f>
        <v>0</v>
      </c>
      <c r="R43" s="5">
        <f>H43*$L43</f>
        <v>0</v>
      </c>
      <c r="S43" s="5">
        <f>I43*L43</f>
        <v>0</v>
      </c>
      <c r="T43" s="5">
        <f>J43*L43</f>
        <v>0</v>
      </c>
    </row>
    <row r="44" spans="1:27" x14ac:dyDescent="0.25">
      <c r="L44" s="5">
        <f>SUM(L22:L43)</f>
        <v>-0.30000000000001137</v>
      </c>
      <c r="M44" s="5">
        <f>SUM(M22:M43)</f>
        <v>11353.501800000002</v>
      </c>
      <c r="N44" s="5">
        <f>SUM(N22:N43)</f>
        <v>519.70000000000005</v>
      </c>
      <c r="O44" s="5">
        <f t="shared" ref="O44:T44" si="17">SUM(O22:O43)</f>
        <v>823.59999999999991</v>
      </c>
      <c r="P44" s="5">
        <f t="shared" si="17"/>
        <v>131.9</v>
      </c>
      <c r="Q44" s="5">
        <f t="shared" si="17"/>
        <v>146.69999999999999</v>
      </c>
      <c r="R44" s="5">
        <f t="shared" si="17"/>
        <v>0</v>
      </c>
      <c r="S44" s="5">
        <f t="shared" si="17"/>
        <v>2.7</v>
      </c>
      <c r="T44" s="5">
        <f t="shared" si="17"/>
        <v>2207.8000000000002</v>
      </c>
    </row>
    <row r="45" spans="1:27" x14ac:dyDescent="0.25">
      <c r="A45" s="5" t="str">
        <f>CONCATENATE(V22,W22,W31,L22,U22,W31,L23,U23,W31,L24,U24,W31,L25,U25,W31,L26,U26,W31,L27,U27,W31,L28,U28,W31,L29,U29,W31,L30,U30,W31,L31,U31,W31,L32,U32,W31,L33,U33,W31,L34,U34,W31,L35,U35,W31,L36,U36,W31,L37,U37,W31,L38,U38,W31,L39,U39,W31,L40,U40,W31,L41,U41,W31,V23,W23,W31,V24,W24,W32,V25,W25,W31,V26,W26,W31,V27,W27,W31,V28,W28,W31,V29,W29,W31,V30,W30)</f>
        <v>100 ATP + 5.7 L-Alanine + 0.8 L-Cysteine + 4.4 L-Aspartate + 7.4 L-Glutamate + 5 L-Phenylalanine + 5.9 Glycine + 1.4 L-Histidine + 10.6 L-Isoleucine + 8.8 L-Lysine + 10.2 L-Leucine + 1.9 L-Methionine + 5.4 L-Asparagine + 3.6 L-Proline + 2 L-Glutamine + 4.1 L-Arginine + 6.5 L-Serine + 4.2 L-Threonine + 6.3 L-Valine + 0.9 L-Tryptophan + 4.6 L-Tyrosine + 198 GTP + 199 H2O = 100 AMP + 198 GDP + 1 peptide_biomass + 198 Phosphate + 100 PPi + 299 Proton</v>
      </c>
    </row>
    <row r="46" spans="1:27" x14ac:dyDescent="0.25">
      <c r="T46" s="5">
        <f>(4*N53+O53-2*Q53-3*P53+5*K115-2*S53-R53)/N53</f>
        <v>4.1808716788795541</v>
      </c>
      <c r="U46" s="5" t="s">
        <v>2090</v>
      </c>
    </row>
    <row r="47" spans="1:27" x14ac:dyDescent="0.25">
      <c r="A47" s="5" t="s">
        <v>1710</v>
      </c>
      <c r="K47" s="11" t="s">
        <v>1709</v>
      </c>
      <c r="M47" s="5" t="s">
        <v>1708</v>
      </c>
    </row>
    <row r="48" spans="1:27" x14ac:dyDescent="0.25">
      <c r="A48" s="5" t="s">
        <v>1462</v>
      </c>
      <c r="K48" s="5">
        <f>M7</f>
        <v>307.85572000000002</v>
      </c>
      <c r="L48" s="5">
        <f>ROUND(M48*1000/K48,3)</f>
        <v>6.5000000000000002E-2</v>
      </c>
      <c r="M48" s="5">
        <v>0.02</v>
      </c>
      <c r="N48" s="5">
        <f t="shared" ref="N48:T48" si="18">N7</f>
        <v>9.84</v>
      </c>
      <c r="O48" s="5">
        <f t="shared" si="18"/>
        <v>11.34</v>
      </c>
      <c r="P48" s="5">
        <f t="shared" si="18"/>
        <v>3.66</v>
      </c>
      <c r="Q48" s="5">
        <f t="shared" si="18"/>
        <v>6</v>
      </c>
      <c r="R48" s="5">
        <f t="shared" si="18"/>
        <v>1</v>
      </c>
      <c r="S48" s="5">
        <f t="shared" si="18"/>
        <v>0</v>
      </c>
      <c r="T48" s="5">
        <f t="shared" si="18"/>
        <v>33.720000000000006</v>
      </c>
      <c r="U48" s="5" t="s">
        <v>1769</v>
      </c>
      <c r="X48" s="5" t="s">
        <v>2087</v>
      </c>
      <c r="Y48" s="5" t="s">
        <v>1387</v>
      </c>
      <c r="Z48" s="5" t="s">
        <v>2085</v>
      </c>
      <c r="AA48" s="5" t="s">
        <v>2086</v>
      </c>
    </row>
    <row r="49" spans="1:29" x14ac:dyDescent="0.25">
      <c r="A49" s="5" t="s">
        <v>1707</v>
      </c>
      <c r="K49" s="5">
        <f>M14</f>
        <v>318.76439999999997</v>
      </c>
      <c r="L49" s="5">
        <f>ROUND(M49*1000/K49,3)</f>
        <v>0.502</v>
      </c>
      <c r="M49" s="5">
        <v>0.16</v>
      </c>
      <c r="N49" s="5">
        <f t="shared" ref="N49:T49" si="19">N14</f>
        <v>9.43</v>
      </c>
      <c r="O49" s="5">
        <f t="shared" si="19"/>
        <v>10.75</v>
      </c>
      <c r="P49" s="5">
        <f t="shared" si="19"/>
        <v>3.61</v>
      </c>
      <c r="Q49" s="5">
        <f t="shared" si="19"/>
        <v>7.07</v>
      </c>
      <c r="R49" s="5">
        <f t="shared" si="19"/>
        <v>1</v>
      </c>
      <c r="S49" s="5">
        <f t="shared" si="19"/>
        <v>0</v>
      </c>
      <c r="T49" s="5">
        <f t="shared" si="19"/>
        <v>29.5</v>
      </c>
      <c r="U49" s="5" t="s">
        <v>1901</v>
      </c>
      <c r="X49" s="5">
        <v>4</v>
      </c>
      <c r="Y49" s="5">
        <v>121</v>
      </c>
      <c r="Z49" s="5">
        <v>70.2</v>
      </c>
      <c r="AA49" s="5">
        <v>30.8322</v>
      </c>
      <c r="AB49" s="5">
        <f>X49/Y49</f>
        <v>3.3057851239669422E-2</v>
      </c>
      <c r="AC49" s="5">
        <f>Z49/AA49</f>
        <v>2.2768404460272054</v>
      </c>
    </row>
    <row r="50" spans="1:29" x14ac:dyDescent="0.25">
      <c r="A50" s="5" t="s">
        <v>1706</v>
      </c>
      <c r="K50" s="5">
        <f>M16</f>
        <v>851.19600000000003</v>
      </c>
      <c r="L50" s="5">
        <f>ROUND(M50*1000/K50,3)</f>
        <v>0.129</v>
      </c>
      <c r="M50" s="5">
        <v>0.11</v>
      </c>
      <c r="N50" s="5">
        <f t="shared" ref="N50:T50" si="20">N16</f>
        <v>53</v>
      </c>
      <c r="O50" s="5">
        <f t="shared" si="20"/>
        <v>87</v>
      </c>
      <c r="P50" s="5">
        <f t="shared" si="20"/>
        <v>0</v>
      </c>
      <c r="Q50" s="5">
        <f t="shared" si="20"/>
        <v>6</v>
      </c>
      <c r="R50" s="5">
        <f t="shared" si="20"/>
        <v>1</v>
      </c>
      <c r="S50" s="5">
        <f t="shared" si="20"/>
        <v>0</v>
      </c>
      <c r="T50" s="5">
        <f t="shared" si="20"/>
        <v>294</v>
      </c>
      <c r="U50" s="5" t="s">
        <v>1902</v>
      </c>
      <c r="X50" s="5">
        <v>40</v>
      </c>
      <c r="Y50" s="5">
        <v>1</v>
      </c>
      <c r="Z50" s="5">
        <v>57.545499999999997</v>
      </c>
      <c r="AA50" s="5">
        <v>33.4268</v>
      </c>
      <c r="AB50" s="5">
        <f t="shared" ref="AB50:AB55" si="21">X50/Y50</f>
        <v>40</v>
      </c>
      <c r="AC50" s="5">
        <f t="shared" ref="AC50:AC55" si="22">Z50/AA50</f>
        <v>1.7215378079864061</v>
      </c>
    </row>
    <row r="51" spans="1:29" x14ac:dyDescent="0.25">
      <c r="A51" s="5" t="s">
        <v>1705</v>
      </c>
      <c r="K51" s="5">
        <f>M20</f>
        <v>162.13999999999999</v>
      </c>
      <c r="L51" s="5">
        <f>ROUND(M51*1000/K51,3)</f>
        <v>0.67800000000000005</v>
      </c>
      <c r="M51" s="5">
        <v>0.11</v>
      </c>
      <c r="N51" s="5">
        <f>N20</f>
        <v>6</v>
      </c>
      <c r="O51" s="5">
        <f t="shared" ref="O51:T51" si="23">O20</f>
        <v>10</v>
      </c>
      <c r="P51" s="5">
        <f t="shared" si="23"/>
        <v>0</v>
      </c>
      <c r="Q51" s="5">
        <f t="shared" si="23"/>
        <v>5</v>
      </c>
      <c r="R51" s="5">
        <f t="shared" si="23"/>
        <v>0</v>
      </c>
      <c r="S51" s="5">
        <f t="shared" si="23"/>
        <v>0</v>
      </c>
      <c r="T51" s="5">
        <f t="shared" si="23"/>
        <v>24</v>
      </c>
      <c r="U51" t="s">
        <v>1970</v>
      </c>
      <c r="X51" s="5">
        <v>30</v>
      </c>
      <c r="Y51" s="5">
        <v>1</v>
      </c>
      <c r="Z51" s="5">
        <v>62.844700000000003</v>
      </c>
      <c r="AA51" s="5">
        <v>36.601100000000002</v>
      </c>
      <c r="AB51" s="5">
        <f t="shared" si="21"/>
        <v>30</v>
      </c>
      <c r="AC51" s="5">
        <f t="shared" si="22"/>
        <v>1.7170167016838291</v>
      </c>
    </row>
    <row r="52" spans="1:29" x14ac:dyDescent="0.25">
      <c r="A52" s="5" t="s">
        <v>1704</v>
      </c>
      <c r="K52" s="5">
        <f>M44</f>
        <v>11353.501800000002</v>
      </c>
      <c r="L52" s="5">
        <f>ROUND(M52*1000/K52,3)</f>
        <v>5.2999999999999999E-2</v>
      </c>
      <c r="M52" s="5">
        <v>0.6</v>
      </c>
      <c r="N52" s="5">
        <f t="shared" ref="N52:T52" si="24">N44</f>
        <v>519.70000000000005</v>
      </c>
      <c r="O52" s="5">
        <f t="shared" si="24"/>
        <v>823.59999999999991</v>
      </c>
      <c r="P52" s="5">
        <f t="shared" si="24"/>
        <v>131.9</v>
      </c>
      <c r="Q52" s="5">
        <f t="shared" si="24"/>
        <v>146.69999999999999</v>
      </c>
      <c r="R52" s="5">
        <f t="shared" si="24"/>
        <v>0</v>
      </c>
      <c r="S52" s="5">
        <f t="shared" si="24"/>
        <v>2.7</v>
      </c>
      <c r="T52" s="5">
        <f t="shared" si="24"/>
        <v>2207.8000000000002</v>
      </c>
      <c r="U52" s="5" t="s">
        <v>1762</v>
      </c>
      <c r="X52" s="5">
        <v>3</v>
      </c>
      <c r="Y52" s="5">
        <v>121</v>
      </c>
      <c r="Z52" s="5">
        <v>78.92</v>
      </c>
      <c r="AA52" s="5">
        <v>39.028599999999997</v>
      </c>
      <c r="AB52" s="5">
        <f t="shared" si="21"/>
        <v>2.4793388429752067E-2</v>
      </c>
      <c r="AC52" s="5">
        <f t="shared" si="22"/>
        <v>2.0221068652219145</v>
      </c>
    </row>
    <row r="53" spans="1:29" x14ac:dyDescent="0.25">
      <c r="I53" s="5" t="s">
        <v>1703</v>
      </c>
      <c r="N53" s="5">
        <f t="shared" ref="N53:T53" si="25">(N48*$L$48)+(N49*$L$49)+(N50*$L$50)+(N51*$L$51)+(N52*$L$52)</f>
        <v>43.822559999999996</v>
      </c>
      <c r="O53" s="5">
        <f t="shared" si="25"/>
        <v>67.787399999999991</v>
      </c>
      <c r="P53" s="5">
        <f t="shared" si="25"/>
        <v>9.0408200000000001</v>
      </c>
      <c r="Q53" s="5">
        <f t="shared" si="25"/>
        <v>15.878239999999998</v>
      </c>
      <c r="R53" s="5">
        <f t="shared" si="25"/>
        <v>0.69599999999999995</v>
      </c>
      <c r="S53" s="5">
        <f t="shared" si="25"/>
        <v>0.1431</v>
      </c>
      <c r="T53" s="5">
        <f t="shared" si="25"/>
        <v>188.2122</v>
      </c>
      <c r="U53" s="5" t="s">
        <v>1903</v>
      </c>
      <c r="V53" s="5">
        <f>(12.01*N53)+(1.008*O53)+(14.01*P53)+(16*Q53)+(32.07*S53)+(30.97*R53)</f>
        <v>1001.4967099999998</v>
      </c>
      <c r="X53" s="5">
        <v>3</v>
      </c>
      <c r="Y53" s="5">
        <v>150</v>
      </c>
      <c r="Z53" s="5">
        <v>73.547899999999998</v>
      </c>
      <c r="AA53" s="5">
        <v>33.1113</v>
      </c>
      <c r="AB53" s="5">
        <f t="shared" si="21"/>
        <v>0.02</v>
      </c>
      <c r="AC53" s="5">
        <f t="shared" si="22"/>
        <v>2.2212326305521075</v>
      </c>
    </row>
    <row r="54" spans="1:29" x14ac:dyDescent="0.25">
      <c r="K54" s="5" t="s">
        <v>1702</v>
      </c>
      <c r="N54" s="5">
        <v>150</v>
      </c>
      <c r="U54" s="5" t="s">
        <v>1904</v>
      </c>
      <c r="X54" s="5">
        <v>4</v>
      </c>
      <c r="Y54" s="5">
        <v>1</v>
      </c>
      <c r="Z54" s="5">
        <v>108.1665</v>
      </c>
      <c r="AA54" s="5">
        <v>118.5724</v>
      </c>
      <c r="AB54" s="5">
        <f t="shared" si="21"/>
        <v>4</v>
      </c>
      <c r="AC54" s="5">
        <f t="shared" si="22"/>
        <v>0.91224011658699666</v>
      </c>
    </row>
    <row r="55" spans="1:29" x14ac:dyDescent="0.25">
      <c r="N55" s="5" t="s">
        <v>2627</v>
      </c>
      <c r="X55" s="5">
        <v>40</v>
      </c>
      <c r="Y55" s="5">
        <v>200</v>
      </c>
      <c r="Z55" s="5">
        <v>15.442</v>
      </c>
      <c r="AA55" s="5">
        <v>5.8120000000000003</v>
      </c>
      <c r="AB55" s="5">
        <f t="shared" si="21"/>
        <v>0.2</v>
      </c>
      <c r="AC55" s="5">
        <f t="shared" si="22"/>
        <v>2.6569167240192706</v>
      </c>
    </row>
    <row r="56" spans="1:29" x14ac:dyDescent="0.25">
      <c r="A56" s="5" t="s">
        <v>1701</v>
      </c>
      <c r="Q56" s="5" t="str">
        <f>CONCATENATE(L48,U48,W31,L49,U49,W31,L50,U50,W31,L51,U51,W31,L52,U52,W31,N54,U54,W32,U53,W31,L51,W28)</f>
        <v>0.065 DNA + 0.502 rRNA + 0.129 C25-C25 + 0.678 glucose-6-phosphate + 0.053 peptide_biomass + 150 Maintenance_energy = 1 kg_biomass + 0.678 Phosphate</v>
      </c>
    </row>
    <row r="57" spans="1:29" x14ac:dyDescent="0.25">
      <c r="A57" s="11" t="s">
        <v>1</v>
      </c>
      <c r="B57" s="12" t="s">
        <v>1700</v>
      </c>
      <c r="C57" s="12" t="s">
        <v>1699</v>
      </c>
      <c r="D57" s="12" t="s">
        <v>1698</v>
      </c>
      <c r="E57" s="12" t="s">
        <v>1697</v>
      </c>
      <c r="F57" s="12" t="s">
        <v>1696</v>
      </c>
      <c r="G57" s="11" t="s">
        <v>1674</v>
      </c>
      <c r="P57" s="2"/>
    </row>
    <row r="58" spans="1:29" x14ac:dyDescent="0.25">
      <c r="A58" s="5" t="s">
        <v>1695</v>
      </c>
      <c r="B58" s="5">
        <v>453971</v>
      </c>
      <c r="C58" s="5">
        <v>465021</v>
      </c>
      <c r="D58" s="5">
        <v>221994</v>
      </c>
      <c r="E58" s="5">
        <v>213851</v>
      </c>
      <c r="F58" s="5">
        <v>1785</v>
      </c>
      <c r="G58" s="5">
        <v>1356622</v>
      </c>
      <c r="J58" s="5" t="s">
        <v>1694</v>
      </c>
      <c r="K58" s="5">
        <f>B67+C67</f>
        <v>1165617</v>
      </c>
      <c r="N58" s="5">
        <f>12.01*N53</f>
        <v>526.3089455999999</v>
      </c>
      <c r="O58" s="5">
        <f>O53*1.008</f>
        <v>68.329699199999993</v>
      </c>
      <c r="P58" s="5">
        <f>14.01*P53</f>
        <v>126.66188819999999</v>
      </c>
      <c r="Q58" s="5">
        <f>16*Q53</f>
        <v>254.05183999999997</v>
      </c>
      <c r="R58" s="5">
        <f>30.97*R53</f>
        <v>21.555119999999999</v>
      </c>
      <c r="S58" s="5">
        <f>32.07*S53</f>
        <v>4.5892170000000005</v>
      </c>
      <c r="T58" s="5">
        <f>SUM(N58:S58)</f>
        <v>1001.4967099999998</v>
      </c>
      <c r="X58" s="5" t="s">
        <v>2093</v>
      </c>
      <c r="Y58" s="5" t="s">
        <v>1387</v>
      </c>
      <c r="Z58" s="5" t="s">
        <v>2087</v>
      </c>
      <c r="AA58" s="5" t="s">
        <v>1707</v>
      </c>
      <c r="AB58" s="5" t="s">
        <v>2085</v>
      </c>
      <c r="AC58" s="5" t="s">
        <v>2086</v>
      </c>
    </row>
    <row r="59" spans="1:29" x14ac:dyDescent="0.25">
      <c r="A59" s="5" t="s">
        <v>1693</v>
      </c>
      <c r="B59" s="5">
        <v>50202</v>
      </c>
      <c r="C59" s="5">
        <v>49571</v>
      </c>
      <c r="D59" s="5">
        <v>23074</v>
      </c>
      <c r="E59" s="5">
        <v>24549</v>
      </c>
      <c r="F59" s="5">
        <v>1484</v>
      </c>
      <c r="G59" s="5">
        <v>148880</v>
      </c>
      <c r="J59" s="5" t="s">
        <v>1692</v>
      </c>
      <c r="K59" s="5">
        <f>D67+E67</f>
        <v>552515</v>
      </c>
      <c r="X59" s="5">
        <v>0.5</v>
      </c>
      <c r="Y59" s="5">
        <v>230</v>
      </c>
      <c r="Z59" s="5">
        <v>4</v>
      </c>
      <c r="AA59" s="5">
        <v>0.16</v>
      </c>
      <c r="AB59" s="5">
        <v>70.162999999999997</v>
      </c>
      <c r="AC59" s="5">
        <v>16.022600000000001</v>
      </c>
    </row>
    <row r="60" spans="1:29" x14ac:dyDescent="0.25">
      <c r="A60" s="5" t="s">
        <v>1691</v>
      </c>
      <c r="B60" s="5">
        <v>36171</v>
      </c>
      <c r="C60" s="5">
        <v>36139</v>
      </c>
      <c r="D60" s="5">
        <v>17997</v>
      </c>
      <c r="E60" s="5">
        <v>16274</v>
      </c>
      <c r="F60" s="5">
        <v>694</v>
      </c>
      <c r="G60" s="5">
        <v>107275</v>
      </c>
      <c r="N60" s="5">
        <f t="shared" ref="N60:S60" si="26">100*N58/$T$58</f>
        <v>52.55223909821931</v>
      </c>
      <c r="O60" s="5">
        <f t="shared" si="26"/>
        <v>6.8227582295302804</v>
      </c>
      <c r="P60" s="5">
        <f t="shared" si="26"/>
        <v>12.647259540173629</v>
      </c>
      <c r="Q60" s="5">
        <f t="shared" si="26"/>
        <v>25.367216633192935</v>
      </c>
      <c r="R60" s="5">
        <f t="shared" si="26"/>
        <v>2.1522906450686197</v>
      </c>
      <c r="S60" s="5">
        <f t="shared" si="26"/>
        <v>0.45823585381523635</v>
      </c>
      <c r="X60" s="5">
        <v>0.4</v>
      </c>
      <c r="Y60" s="5">
        <v>215</v>
      </c>
      <c r="Z60" s="5">
        <v>4</v>
      </c>
      <c r="AA60" s="5">
        <v>0.16</v>
      </c>
      <c r="AB60" s="5">
        <v>68.241500000000002</v>
      </c>
      <c r="AC60" s="5">
        <v>16.7349</v>
      </c>
    </row>
    <row r="61" spans="1:29" x14ac:dyDescent="0.25">
      <c r="A61" s="5" t="s">
        <v>1690</v>
      </c>
      <c r="B61" s="5">
        <v>10717</v>
      </c>
      <c r="C61" s="5">
        <v>9764</v>
      </c>
      <c r="D61" s="5">
        <v>4767</v>
      </c>
      <c r="E61" s="5">
        <v>5101</v>
      </c>
      <c r="F61" s="5">
        <v>308</v>
      </c>
      <c r="G61" s="5">
        <v>30657</v>
      </c>
      <c r="J61" s="5" t="s">
        <v>1689</v>
      </c>
      <c r="K61" s="5">
        <f>K59/(K59+K58)</f>
        <v>0.32157890080622442</v>
      </c>
    </row>
    <row r="62" spans="1:29" x14ac:dyDescent="0.25">
      <c r="A62" s="5" t="s">
        <v>1688</v>
      </c>
      <c r="B62" s="5">
        <v>10081</v>
      </c>
      <c r="C62" s="5">
        <v>10709</v>
      </c>
      <c r="D62" s="5">
        <v>4722</v>
      </c>
      <c r="E62" s="5">
        <v>4777</v>
      </c>
      <c r="F62" s="5">
        <v>175</v>
      </c>
      <c r="G62" s="5">
        <v>30464</v>
      </c>
      <c r="Y62" s="5">
        <v>220</v>
      </c>
      <c r="Z62" s="5">
        <v>4</v>
      </c>
      <c r="AB62" s="5">
        <v>53.738700000000001</v>
      </c>
      <c r="AC62" s="5">
        <v>15.3942</v>
      </c>
    </row>
    <row r="63" spans="1:29" x14ac:dyDescent="0.25">
      <c r="A63" s="5" t="s">
        <v>1687</v>
      </c>
      <c r="B63" s="5">
        <v>8877</v>
      </c>
      <c r="C63" s="5">
        <v>10537</v>
      </c>
      <c r="D63" s="5">
        <v>4801</v>
      </c>
      <c r="E63" s="5">
        <v>3969</v>
      </c>
      <c r="F63" s="5">
        <v>440</v>
      </c>
      <c r="G63" s="5">
        <v>28624</v>
      </c>
      <c r="J63" s="5" t="s">
        <v>1686</v>
      </c>
      <c r="K63" s="5">
        <f>K61/2</f>
        <v>0.16078945040311221</v>
      </c>
      <c r="L63" s="5">
        <f>ROUND(K63,2)</f>
        <v>0.16</v>
      </c>
    </row>
    <row r="64" spans="1:29" x14ac:dyDescent="0.25">
      <c r="A64" s="5" t="s">
        <v>1685</v>
      </c>
      <c r="B64" s="5">
        <v>4389</v>
      </c>
      <c r="C64" s="5">
        <v>3706</v>
      </c>
      <c r="D64" s="5">
        <v>1748</v>
      </c>
      <c r="E64" s="5">
        <v>2350</v>
      </c>
      <c r="F64" s="5">
        <v>508</v>
      </c>
      <c r="G64" s="5">
        <v>12701</v>
      </c>
      <c r="J64" s="5" t="s">
        <v>1684</v>
      </c>
      <c r="K64" s="5">
        <f>K61/2</f>
        <v>0.16078945040311221</v>
      </c>
      <c r="L64" s="5">
        <f>ROUND(K64,2)</f>
        <v>0.16</v>
      </c>
    </row>
    <row r="65" spans="1:24" x14ac:dyDescent="0.25">
      <c r="A65" s="5" t="s">
        <v>1683</v>
      </c>
      <c r="B65" s="5">
        <v>2706</v>
      </c>
      <c r="C65" s="5">
        <v>3056</v>
      </c>
      <c r="D65" s="5">
        <v>1318</v>
      </c>
      <c r="E65" s="5">
        <v>1223</v>
      </c>
      <c r="F65" s="5">
        <v>613</v>
      </c>
      <c r="G65" s="5">
        <v>8916</v>
      </c>
      <c r="J65" s="5" t="s">
        <v>1682</v>
      </c>
      <c r="K65" s="5">
        <f>(1-$K$61)/2</f>
        <v>0.33921054959688779</v>
      </c>
      <c r="L65" s="5">
        <f>ROUND(K65,2)</f>
        <v>0.34</v>
      </c>
    </row>
    <row r="66" spans="1:24" x14ac:dyDescent="0.25">
      <c r="J66" s="5" t="s">
        <v>1681</v>
      </c>
      <c r="K66" s="5">
        <f>(1-$K$61)/2</f>
        <v>0.33921054959688779</v>
      </c>
      <c r="L66" s="5">
        <f>ROUND(K66,2)</f>
        <v>0.34</v>
      </c>
    </row>
    <row r="67" spans="1:24" x14ac:dyDescent="0.25">
      <c r="A67" s="11" t="s">
        <v>1668</v>
      </c>
      <c r="B67" s="5">
        <f t="shared" ref="B67:G67" si="27">SUM(B58:B66)</f>
        <v>577114</v>
      </c>
      <c r="C67" s="5">
        <f t="shared" si="27"/>
        <v>588503</v>
      </c>
      <c r="D67" s="5">
        <f t="shared" si="27"/>
        <v>280421</v>
      </c>
      <c r="E67" s="5">
        <f t="shared" si="27"/>
        <v>272094</v>
      </c>
      <c r="F67" s="5">
        <f t="shared" si="27"/>
        <v>6007</v>
      </c>
      <c r="G67" s="5">
        <f t="shared" si="27"/>
        <v>1724139</v>
      </c>
    </row>
    <row r="69" spans="1:24" x14ac:dyDescent="0.25">
      <c r="A69" s="5" t="s">
        <v>1680</v>
      </c>
      <c r="B69" s="5" t="s">
        <v>1</v>
      </c>
      <c r="C69" s="5" t="s">
        <v>1679</v>
      </c>
      <c r="D69" s="5" t="s">
        <v>1678</v>
      </c>
      <c r="E69" s="5" t="s">
        <v>1677</v>
      </c>
      <c r="F69" s="5" t="s">
        <v>1676</v>
      </c>
      <c r="G69" s="5" t="s">
        <v>1675</v>
      </c>
      <c r="H69" s="5" t="s">
        <v>1674</v>
      </c>
    </row>
    <row r="70" spans="1:24" x14ac:dyDescent="0.25">
      <c r="A70" s="10" t="s">
        <v>1673</v>
      </c>
      <c r="B70" s="10" t="s">
        <v>1672</v>
      </c>
      <c r="C70" s="5">
        <f>SUM(LEN($A71)-LEN(SUBSTITUTE($A71,"A","")))/LEN("A")</f>
        <v>796</v>
      </c>
      <c r="D70" s="5">
        <f>SUM(LEN($A71)-LEN(SUBSTITUTE($A71,"T","")))/LEN("T")</f>
        <v>588</v>
      </c>
      <c r="E70" s="5">
        <f>SUM(LEN($A71)-LEN(SUBSTITUTE($A71,"C","")))/LEN("C")</f>
        <v>757</v>
      </c>
      <c r="F70" s="5">
        <f>SUM(LEN($A71)-LEN(SUBSTITUTE($A71,"G","")))/LEN("G")</f>
        <v>969</v>
      </c>
      <c r="G70" s="5">
        <f>SUM(LEN($A71)-LEN(SUBSTITUTE($A71,"N","")))/LEN("N")</f>
        <v>0</v>
      </c>
      <c r="H70" s="5">
        <f>LEN(A71)</f>
        <v>3110</v>
      </c>
      <c r="K70" s="5" t="s">
        <v>1671</v>
      </c>
    </row>
    <row r="71" spans="1:24" x14ac:dyDescent="0.25">
      <c r="A71" s="10" t="s">
        <v>2089</v>
      </c>
      <c r="B71" s="8" t="s">
        <v>1670</v>
      </c>
      <c r="C71" s="5">
        <f>SUM(LEN($A74)-LEN(SUBSTITUTE($A74,"A","")))/LEN("A")</f>
        <v>330</v>
      </c>
      <c r="D71" s="5">
        <f>SUM(LEN($A74)-LEN(SUBSTITUTE($A74,"T","")))/LEN("T")</f>
        <v>238</v>
      </c>
      <c r="E71" s="5">
        <f>SUM(LEN($A74)-LEN(SUBSTITUTE($A74,"C","")))/LEN("C")</f>
        <v>359</v>
      </c>
      <c r="F71" s="5">
        <f>SUM(LEN($A74)-LEN(SUBSTITUTE($A74,"G","")))/LEN("G")</f>
        <v>457</v>
      </c>
      <c r="G71" s="5">
        <f>SUM(LEN($A74)-LEN(SUBSTITUTE($A74,"N","")))/LEN("N")</f>
        <v>0</v>
      </c>
      <c r="H71" s="5">
        <f>LEN(A74)</f>
        <v>1384</v>
      </c>
    </row>
    <row r="72" spans="1:24" x14ac:dyDescent="0.25">
      <c r="A72" s="10"/>
    </row>
    <row r="73" spans="1:24" x14ac:dyDescent="0.25">
      <c r="A73" s="8" t="s">
        <v>1669</v>
      </c>
      <c r="B73" s="5" t="s">
        <v>1668</v>
      </c>
      <c r="C73" s="5">
        <f t="shared" ref="C73:H73" si="28">SUM(C70:C71)</f>
        <v>1126</v>
      </c>
      <c r="D73" s="5">
        <f t="shared" si="28"/>
        <v>826</v>
      </c>
      <c r="E73" s="5">
        <f t="shared" si="28"/>
        <v>1116</v>
      </c>
      <c r="F73" s="5">
        <f t="shared" si="28"/>
        <v>1426</v>
      </c>
      <c r="G73" s="5">
        <f t="shared" si="28"/>
        <v>0</v>
      </c>
      <c r="H73" s="5">
        <f t="shared" si="28"/>
        <v>4494</v>
      </c>
      <c r="L73" s="9" t="s">
        <v>742</v>
      </c>
      <c r="M73" s="9" t="s">
        <v>1667</v>
      </c>
      <c r="N73" s="9" t="s">
        <v>749</v>
      </c>
      <c r="O73" s="9" t="s">
        <v>754</v>
      </c>
    </row>
    <row r="74" spans="1:24" x14ac:dyDescent="0.25">
      <c r="A74" s="8" t="s">
        <v>2088</v>
      </c>
      <c r="B74" s="7" t="s">
        <v>1666</v>
      </c>
      <c r="C74" s="6">
        <f t="shared" ref="C74:H74" si="29">ROUND(C73/$H$73,2)</f>
        <v>0.25</v>
      </c>
      <c r="D74" s="6">
        <f t="shared" si="29"/>
        <v>0.18</v>
      </c>
      <c r="E74" s="6">
        <f t="shared" si="29"/>
        <v>0.25</v>
      </c>
      <c r="F74" s="6">
        <f t="shared" si="29"/>
        <v>0.32</v>
      </c>
      <c r="G74" s="6">
        <f t="shared" si="29"/>
        <v>0</v>
      </c>
      <c r="H74" s="6">
        <f t="shared" si="29"/>
        <v>1</v>
      </c>
      <c r="I74" s="6"/>
      <c r="K74" s="5" t="s">
        <v>1665</v>
      </c>
      <c r="L74" s="6">
        <f>D74</f>
        <v>0.18</v>
      </c>
      <c r="M74" s="6">
        <f>C74</f>
        <v>0.25</v>
      </c>
      <c r="N74" s="6">
        <f>F74</f>
        <v>0.32</v>
      </c>
      <c r="O74" s="6">
        <f>E74</f>
        <v>0.25</v>
      </c>
    </row>
    <row r="75" spans="1:24" x14ac:dyDescent="0.25">
      <c r="A75" s="8"/>
    </row>
    <row r="76" spans="1:24" x14ac:dyDescent="0.25">
      <c r="A76" s="8"/>
      <c r="K76" s="7"/>
      <c r="L76" s="6"/>
      <c r="M76" s="6"/>
      <c r="N76" s="6"/>
      <c r="O76" s="6"/>
      <c r="P76" s="6"/>
      <c r="Q76" s="6"/>
      <c r="U76" s="6"/>
      <c r="V76" s="6"/>
      <c r="W76" s="6"/>
      <c r="X76" s="6"/>
    </row>
    <row r="77" spans="1:24" x14ac:dyDescent="0.25">
      <c r="A77" s="5" t="s">
        <v>1664</v>
      </c>
    </row>
    <row r="78" spans="1:24" x14ac:dyDescent="0.25">
      <c r="A78" t="s">
        <v>1663</v>
      </c>
    </row>
    <row r="79" spans="1:24" x14ac:dyDescent="0.25">
      <c r="A79" t="s">
        <v>1662</v>
      </c>
    </row>
    <row r="80" spans="1:24" x14ac:dyDescent="0.25">
      <c r="A80" t="s">
        <v>1661</v>
      </c>
    </row>
    <row r="81" spans="1:3" x14ac:dyDescent="0.25">
      <c r="A81"/>
    </row>
    <row r="82" spans="1:3" x14ac:dyDescent="0.25">
      <c r="A82" t="s">
        <v>1660</v>
      </c>
    </row>
    <row r="83" spans="1:3" x14ac:dyDescent="0.25">
      <c r="A83" t="s">
        <v>742</v>
      </c>
      <c r="B83" t="s">
        <v>741</v>
      </c>
      <c r="C83" s="5">
        <v>5.7</v>
      </c>
    </row>
    <row r="84" spans="1:3" x14ac:dyDescent="0.25">
      <c r="A84" t="s">
        <v>749</v>
      </c>
      <c r="B84" t="s">
        <v>748</v>
      </c>
      <c r="C84" s="5">
        <v>0.8</v>
      </c>
    </row>
    <row r="85" spans="1:3" x14ac:dyDescent="0.25">
      <c r="A85" t="s">
        <v>747</v>
      </c>
      <c r="B85" t="s">
        <v>1659</v>
      </c>
      <c r="C85" s="5">
        <v>4.4000000000000004</v>
      </c>
    </row>
    <row r="86" spans="1:3" x14ac:dyDescent="0.25">
      <c r="A86" t="s">
        <v>750</v>
      </c>
      <c r="B86" t="s">
        <v>1658</v>
      </c>
      <c r="C86" s="5">
        <v>7.4</v>
      </c>
    </row>
    <row r="87" spans="1:3" x14ac:dyDescent="0.25">
      <c r="A87" t="s">
        <v>766</v>
      </c>
      <c r="B87" t="s">
        <v>765</v>
      </c>
      <c r="C87" s="5">
        <v>5</v>
      </c>
    </row>
    <row r="88" spans="1:3" x14ac:dyDescent="0.25">
      <c r="A88" t="s">
        <v>754</v>
      </c>
      <c r="B88" t="s">
        <v>753</v>
      </c>
      <c r="C88" s="5">
        <v>5.9</v>
      </c>
    </row>
    <row r="89" spans="1:3" x14ac:dyDescent="0.25">
      <c r="A89" t="s">
        <v>756</v>
      </c>
      <c r="B89" t="s">
        <v>755</v>
      </c>
      <c r="C89" s="5">
        <v>1.4</v>
      </c>
    </row>
    <row r="90" spans="1:3" x14ac:dyDescent="0.25">
      <c r="A90" t="s">
        <v>758</v>
      </c>
      <c r="B90" t="s">
        <v>757</v>
      </c>
      <c r="C90" s="5">
        <v>10.6</v>
      </c>
    </row>
    <row r="91" spans="1:3" x14ac:dyDescent="0.25">
      <c r="A91" t="s">
        <v>762</v>
      </c>
      <c r="B91" t="s">
        <v>761</v>
      </c>
      <c r="C91" s="5">
        <v>8.8000000000000007</v>
      </c>
    </row>
    <row r="92" spans="1:3" x14ac:dyDescent="0.25">
      <c r="A92" t="s">
        <v>760</v>
      </c>
      <c r="B92" t="s">
        <v>759</v>
      </c>
      <c r="C92" s="5">
        <v>10.199999999999999</v>
      </c>
    </row>
    <row r="93" spans="1:3" x14ac:dyDescent="0.25">
      <c r="A93" t="s">
        <v>764</v>
      </c>
      <c r="B93" t="s">
        <v>763</v>
      </c>
      <c r="C93" s="5">
        <v>1.9</v>
      </c>
    </row>
    <row r="94" spans="1:3" x14ac:dyDescent="0.25">
      <c r="A94" t="s">
        <v>746</v>
      </c>
      <c r="B94" t="s">
        <v>745</v>
      </c>
      <c r="C94" s="5">
        <v>5.4</v>
      </c>
    </row>
    <row r="95" spans="1:3" x14ac:dyDescent="0.25">
      <c r="A95" t="s">
        <v>768</v>
      </c>
      <c r="B95" t="s">
        <v>767</v>
      </c>
      <c r="C95" s="5">
        <v>3.6</v>
      </c>
    </row>
    <row r="96" spans="1:3" x14ac:dyDescent="0.25">
      <c r="A96" t="s">
        <v>752</v>
      </c>
      <c r="B96" t="s">
        <v>751</v>
      </c>
      <c r="C96" s="5">
        <v>2</v>
      </c>
    </row>
    <row r="97" spans="1:31" x14ac:dyDescent="0.25">
      <c r="A97" t="s">
        <v>744</v>
      </c>
      <c r="B97" t="s">
        <v>743</v>
      </c>
      <c r="C97" s="5">
        <v>4.0999999999999996</v>
      </c>
    </row>
    <row r="98" spans="1:31" x14ac:dyDescent="0.25">
      <c r="A98" t="s">
        <v>770</v>
      </c>
      <c r="B98" t="s">
        <v>769</v>
      </c>
      <c r="C98" s="5">
        <v>6.5</v>
      </c>
    </row>
    <row r="99" spans="1:31" x14ac:dyDescent="0.25">
      <c r="A99" t="s">
        <v>772</v>
      </c>
      <c r="B99" t="s">
        <v>771</v>
      </c>
      <c r="C99" s="5">
        <v>4.2</v>
      </c>
    </row>
    <row r="100" spans="1:31" x14ac:dyDescent="0.25">
      <c r="A100" t="s">
        <v>778</v>
      </c>
      <c r="B100" t="s">
        <v>777</v>
      </c>
      <c r="C100" s="5">
        <v>6.3</v>
      </c>
    </row>
    <row r="101" spans="1:31" x14ac:dyDescent="0.25">
      <c r="A101" t="s">
        <v>774</v>
      </c>
      <c r="B101" t="s">
        <v>773</v>
      </c>
      <c r="C101" s="5">
        <v>0.9</v>
      </c>
    </row>
    <row r="102" spans="1:31" x14ac:dyDescent="0.25">
      <c r="A102" t="s">
        <v>1657</v>
      </c>
      <c r="B102" t="s">
        <v>200</v>
      </c>
      <c r="C102" s="5">
        <v>0.2</v>
      </c>
    </row>
    <row r="103" spans="1:31" x14ac:dyDescent="0.25">
      <c r="A103" t="s">
        <v>776</v>
      </c>
      <c r="B103" t="s">
        <v>775</v>
      </c>
      <c r="C103" s="5">
        <v>4.5999999999999996</v>
      </c>
    </row>
    <row r="104" spans="1:31" x14ac:dyDescent="0.25">
      <c r="A104"/>
      <c r="C104" s="5">
        <f>SUM(C83:C103)</f>
        <v>99.899999999999991</v>
      </c>
    </row>
    <row r="105" spans="1:31" x14ac:dyDescent="0.25">
      <c r="A105" t="s">
        <v>1656</v>
      </c>
    </row>
    <row r="106" spans="1:31" x14ac:dyDescent="0.25">
      <c r="A106"/>
    </row>
    <row r="107" spans="1:31" x14ac:dyDescent="0.25">
      <c r="A107" t="s">
        <v>1655</v>
      </c>
    </row>
    <row r="108" spans="1:31" ht="76.5" customHeight="1" x14ac:dyDescent="0.25">
      <c r="AE108" s="34" t="s">
        <v>2645</v>
      </c>
    </row>
  </sheetData>
  <pageMargins left="0.75" right="0.75" top="1" bottom="1" header="0.5" footer="0.5"/>
  <pageSetup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44"/>
  <sheetViews>
    <sheetView workbookViewId="0">
      <selection activeCell="A17" sqref="A17"/>
    </sheetView>
  </sheetViews>
  <sheetFormatPr defaultRowHeight="15" x14ac:dyDescent="0.25"/>
  <sheetData>
    <row r="1" spans="1:1" x14ac:dyDescent="0.25">
      <c r="A1" t="s">
        <v>2010</v>
      </c>
    </row>
    <row r="2" spans="1:1" x14ac:dyDescent="0.25">
      <c r="A2" t="str">
        <f>CONCATENATE("R",MATCH("L-Arginine + H2O = Ornithine + urea",Master!$C:$C,0)," = (!1R",MATCH("1 L-Argininosuccinate = 1 Fumarate + 1 L-Arginine ",Master!$C:$C,0),")")</f>
        <v>R294 = (!1R138)</v>
      </c>
    </row>
    <row r="3" spans="1:1" x14ac:dyDescent="0.25">
      <c r="A3" t="s">
        <v>2044</v>
      </c>
    </row>
    <row r="4" spans="1:1" x14ac:dyDescent="0.25">
      <c r="A4" t="str">
        <f>CONCATENATE("R",MATCH("1 Ornithine  = 1 L-Proline + 1 NH3 + 1 Proton",Master!$C:$C,0)," = (!1R",MATCH("N-Acetylornithine + H2O = Acetate + Ornithine",Master!$C:$C,0),")")</f>
        <v>R296 = (!1R130)</v>
      </c>
    </row>
    <row r="5" spans="1:1" x14ac:dyDescent="0.25">
      <c r="A5" t="s">
        <v>2011</v>
      </c>
    </row>
    <row r="6" spans="1:1" x14ac:dyDescent="0.25">
      <c r="A6" t="str">
        <f>CONCATENATE("R",MATCH("1 ATP + 1 H2O + 1 Phosphate_out = 1 ADP + 2 Phosphate + 1 Proton ",Master!$C:$C,0)," = (!1R",MATCH("1 Phosphate = 1 Phosphate_out ",Master!$C:$C,0),")")</f>
        <v>R642 = (!1R647)</v>
      </c>
    </row>
    <row r="7" spans="1:1" x14ac:dyDescent="0.25">
      <c r="A7" t="s">
        <v>2012</v>
      </c>
    </row>
    <row r="8" spans="1:1" x14ac:dyDescent="0.25">
      <c r="A8" t="str">
        <f>CONCATENATE("R",MATCH("2 ATP + 2 H2O + 1 L-Aspartate + 1 L-Glutamine = 1 ADP + 1 AMP + 1 L-Asparagine + 1 L-Glutamate + 1 Phosphate + 1 PPi + 2 Proton ",Master!$C:$C,0)," = (!1R",MATCH("1 H2O + 1 L-Asparagine = 1 L-Aspartate + 1 NH3 + 1 Proton ",Master!$C:$C,0),")")</f>
        <v>R290 = (!1R298)</v>
      </c>
    </row>
    <row r="9" spans="1:1" x14ac:dyDescent="0.25">
      <c r="A9" t="s">
        <v>2013</v>
      </c>
    </row>
    <row r="10" spans="1:1" x14ac:dyDescent="0.25">
      <c r="A10" t="str">
        <f>CONCATENATE("R",MATCH("1 H2S + 1 O-Acetyl-L-serine = 1 Acetate + 1 L-Cysteine + 1 Proton ",Master!$C:$C,0)," = (!1R",MATCH("1 H2O + 1 L-Cysteine = 1 H2S + 1 NH3 + 1 Proton + 1 Pyruvate ",Master!$C:$C,0),")")</f>
        <v>R142 = (!1R160)</v>
      </c>
    </row>
    <row r="11" spans="1:1" x14ac:dyDescent="0.25">
      <c r="A11" t="s">
        <v>2014</v>
      </c>
    </row>
    <row r="12" spans="1:1" x14ac:dyDescent="0.25">
      <c r="A12" t="str">
        <f>CONCATENATE("R",MATCH("1 H2O + 1 L-Histidinal + 1 NAD = 1 L-Histidine + 1 NADH + 2 Proton ",Master!$C:$C,0)," = (!1R",MATCH("4 H2O + 1 L-Histidine = 1 formate + 1 L-Glutamate + 2 NH3 + 2 Proton ",Master!$C:$C,0),")")</f>
        <v>R198 = (!1R304)</v>
      </c>
    </row>
    <row r="13" spans="1:1" x14ac:dyDescent="0.25">
      <c r="A13" t="s">
        <v>2015</v>
      </c>
    </row>
    <row r="14" spans="1:1" x14ac:dyDescent="0.25">
      <c r="A14" t="str">
        <f>CONCATENATE("R",MATCH("1 2_3-Dihydroxy-3-methylvalerate = 1 3MOP + 1 H2O ",Master!$C:$C,0)," = (!1R",MATCH("2 CoA + 1 FAD + 1 H2O + 1 3MOP + 2 NAD = 1 Acetyl-CoA + 1 CO2 + 1 FADH2 + 2 NADH + 1 propanoyl-CoA + 1 Proton ",Master!$C:$C,0),")")</f>
        <v>R256 = (!1R306)</v>
      </c>
    </row>
    <row r="15" spans="1:1" x14ac:dyDescent="0.25">
      <c r="A15" t="s">
        <v>2016</v>
      </c>
    </row>
    <row r="16" spans="1:1" x14ac:dyDescent="0.25">
      <c r="A16" t="str">
        <f>CONCATENATE("R",MATCH("1 2-isopropyl-3-oxosuccinate + 1 Proton = 1 4MOP + 1 CO2 ",Master!$C:$C,0)," = (!1R",MATCH("1 4MOP + 1 CoA + 1 NAD = 1 Isovaleryl-CoA + 1 CO2 + 1 NADH",Master!$C:$C,0),")")</f>
        <v>R282 = (!1R313)</v>
      </c>
    </row>
    <row r="17" spans="1:1" x14ac:dyDescent="0.25">
      <c r="A17" t="s">
        <v>2631</v>
      </c>
    </row>
    <row r="18" spans="1:1" x14ac:dyDescent="0.25">
      <c r="A18" t="str">
        <f>CONCATENATE("R",MATCH("1 meso-2_6-Diaminopimelate + 1 Proton = 1 CO2 + 1 L-Lysine ",Master!$C:$C,0)," = (!1R",MATCH("1 2-Oxoglutarate + 1 ATP + 1 CoA + 1 H2O + 1 L-Lysine + 1 NADP + 1 O2 = 1 ADP + 1 CO2 + 1 glutaryl-coA + 1 L-Glutamate + 1 NADPH + 1 NH3 + 1 Phosphate + 3 Proton ",Master!$C:$C,0),")")</f>
        <v>R209 = (!1R329)</v>
      </c>
    </row>
    <row r="19" spans="1:1" x14ac:dyDescent="0.25">
      <c r="A19" t="s">
        <v>2045</v>
      </c>
    </row>
    <row r="20" spans="1:1" x14ac:dyDescent="0.25">
      <c r="A20" t="str">
        <f>CONCATENATE("R",MATCH("1 5-methyl-tetrahydrofolate + 1 Homocysteine = 1 L-Methionine + 1 tetrahydrofolate_B9 ",Master!$C:$C,0)," = (!1R",MATCH("1 H2O + 1 L-Methionine = 1 2-Oxobutyrate + 1 methanethiol + 1 NH3 + 1 Proton ",Master!$C:$C,0),")")</f>
        <v>R164 = (!1R342)</v>
      </c>
    </row>
    <row r="21" spans="1:1" x14ac:dyDescent="0.25">
      <c r="A21" t="s">
        <v>2017</v>
      </c>
    </row>
    <row r="22" spans="1:1" x14ac:dyDescent="0.25">
      <c r="A22" t="str">
        <f>CONCATENATE("R",MATCH("1 L-Phenylalanine + 1 NADH + 1 O2 + 1 Proton = 1 H2O + 1 L-Tyrosine + 1 NAD ",Master!$C:$C,0)," = (!1R",MATCH("1 L-Glutamate + 1 Phenylpyruvate = 1 2-Oxoglutarate + 1 L-Phenylalanine ",Master!$C:$C,0),")")</f>
        <v>R355 = (!1R242)</v>
      </c>
    </row>
    <row r="23" spans="1:1" x14ac:dyDescent="0.25">
      <c r="A23" t="s">
        <v>2018</v>
      </c>
    </row>
    <row r="24" spans="1:1" x14ac:dyDescent="0.25">
      <c r="A24" t="str">
        <f>CONCATENATE("R",MATCH("1 NAD + 1 Prephenate = 1 CO2 + 1 NADH + 1 p-hydroxyphenylpyruvate ",Master!$C:$C,0)," = (!1R",MATCH("1 O2 + 1 p-hydroxyphenylpyruvate + 1 Proton + NADH = 1 4-hydroxyphenylacetate + 1 CO2 + 1 H2O + NAD",Master!$C:$C,0),")")</f>
        <v>R245 = (!1R381)</v>
      </c>
    </row>
    <row r="25" spans="1:1" x14ac:dyDescent="0.25">
      <c r="A25" t="s">
        <v>2019</v>
      </c>
    </row>
    <row r="26" spans="1:1" x14ac:dyDescent="0.25">
      <c r="A26" t="str">
        <f>CONCATENATE("R",MATCH("1 CoA + 1 FADH2 + 4 H2O + 1 L-Tryptophan + 2 NAD + 3 O2 = 1 Acetyl-CoA + 2 CO2 + 1 FAD + 1 formate + 1 L-Alanine + 2 NADH + 1 NH3 + 4 Proton + 1 Pyruvate ",Master!$C:$C,0)," = (!1R",MATCH("1 indol + 1 L-Serine = 1 H2O + 1 L-Tryptophan ",Master!$C:$C,0),")")</f>
        <v>R357 = (!1R235)</v>
      </c>
    </row>
    <row r="27" spans="1:1" x14ac:dyDescent="0.25">
      <c r="A27" t="s">
        <v>2020</v>
      </c>
    </row>
    <row r="28" spans="1:1" x14ac:dyDescent="0.25">
      <c r="A28" t="str">
        <f>CONCATENATE("R",MATCH("1 ADP + 1 Phosphoenolpyruvate + 1 Proton = 1 ATP + 1 Pyruvate ",Master!$C:$C,0)," = (!1R",MATCH("1 ATP + 1 Phosphate + 1 Pyruvate = 1 AMP + 1 Phosphoenolpyruvate + 1 PPi + 1 Proton ",Master!$C:$C,0),")")</f>
        <v>R27 = (!1R29)</v>
      </c>
    </row>
    <row r="29" spans="1:1" x14ac:dyDescent="0.25">
      <c r="A29" t="s">
        <v>2061</v>
      </c>
    </row>
    <row r="30" spans="1:1" x14ac:dyDescent="0.25">
      <c r="A30" t="str">
        <f>CONCATENATE("R",MATCH("1 D-fructose-6-phosphate + 1 ATP = 1 D-fructose-1_6-bisphosphate + 1 ADP + 1 Proton",Master!$C:$C,0)," = (!1R",MATCH("1 D-fructose-1_6-bisphosphate + 1 H2O = 1 D-fructose-6-phosphate + 1 Phosphate ",Master!$C:$C,0),")")</f>
        <v>R10 = (!1R12)</v>
      </c>
    </row>
    <row r="31" spans="1:1" x14ac:dyDescent="0.25">
      <c r="A31" t="s">
        <v>2062</v>
      </c>
    </row>
    <row r="32" spans="1:1" x14ac:dyDescent="0.25">
      <c r="A32" t="str">
        <f>CONCATENATE("R",MATCH("1 Glyceraldehyde3-phosphate + 1 H2O + 1 NADP = 1 3-Phosphoglycerate + 1 NADPH + 2 Proton ",Master!$C:$C,0)," = (!1R",MATCH("1 3-Phosphoglycerate + 1 ATP = 1 1_3-Bisphospho-D-glycerate + 1 ADP ",Master!$C:$C,0),")")</f>
        <v>R17 = (!1R21)</v>
      </c>
    </row>
    <row r="33" spans="1:1" x14ac:dyDescent="0.25">
      <c r="A33" t="s">
        <v>2084</v>
      </c>
    </row>
    <row r="34" spans="1:1" x14ac:dyDescent="0.25">
      <c r="A34" t="str">
        <f>CONCATENATE("R",MATCH("1 L-Serine = 1 NH3 + 1 Proton + 1 Pyruvate",Master!$C:$C,0)," = (!1R",MATCH("1 3-Phosphoglycerate + 1 H2O + 1 L-Glutamate + 1 NAD = 1 2-Oxoglutarate + 1 L-Serine + 1 NADH + 1 Phosphate + 1 Proton ",Master!$C:$C,0),")")</f>
        <v>R167 = (!1R173)</v>
      </c>
    </row>
    <row r="35" spans="1:1" x14ac:dyDescent="0.25">
      <c r="A35" t="s">
        <v>2096</v>
      </c>
    </row>
    <row r="36" spans="1:1" x14ac:dyDescent="0.25">
      <c r="A36" t="str">
        <f>CONCATENATE("R",MATCH("formate = formate_ext",Master!$C:$C,0)," = (!1R",MATCH("1 formate + 1 NAD = 1 CO2 + 1 NADH ",Master!$C:$C,0),")")</f>
        <v>R637 = (!1R624)</v>
      </c>
    </row>
    <row r="37" spans="1:1" x14ac:dyDescent="0.25">
      <c r="A37" t="s">
        <v>2095</v>
      </c>
    </row>
    <row r="38" spans="1:1" x14ac:dyDescent="0.25">
      <c r="A38" t="str">
        <f>CONCATENATE("R",MATCH("formaldehyde = formaldehyde_ext",Master!$C:$C,0)," = (!1R",MATCH("1 formaldehyde + 1 tetrahydrofolate_B9 = 1 5-10-Methylenetetrahydrofolate + 1 H2O ",Master!$C:$C,0),")")</f>
        <v>R636 = (!1R626)</v>
      </c>
    </row>
    <row r="39" spans="1:1" x14ac:dyDescent="0.25">
      <c r="A39" t="s">
        <v>2094</v>
      </c>
    </row>
    <row r="40" spans="1:1" x14ac:dyDescent="0.25">
      <c r="A40" t="str">
        <f>CONCATENATE("R",MATCH("2 QH2 + 1 O2 + 4 Proton = 2 Q + 2 H2O + 4 proton_out ",Master!$C:$C,0)," = (!1R",MATCH("4 ferrocyt_c + 1 O2 + 8 Proton = 4 ferricyt_c + 2 H2O + 4 proton_out ",Master!$C:$C,0),")")</f>
        <v>R593 = (!1R595)</v>
      </c>
    </row>
    <row r="41" spans="1:1" x14ac:dyDescent="0.25">
      <c r="A41" t="s">
        <v>2628</v>
      </c>
    </row>
    <row r="42" spans="1:1" x14ac:dyDescent="0.25">
      <c r="A42" t="str">
        <f>CONCATENATE("R",MATCH("1 H2O + 1 UMP_deg = 1 Phosphate + 1 uridine",Master!$C:$C,0)," = (!1R",MATCH("1 Orotidylic-acid + 1 Proton = 1 CO2 + 1 UMP ",Master!$C:$C,0),")")</f>
        <v>R555 = (!1R467)</v>
      </c>
    </row>
    <row r="43" spans="1:1" x14ac:dyDescent="0.25">
      <c r="A43" t="s">
        <v>2629</v>
      </c>
    </row>
    <row r="44" spans="1:1" x14ac:dyDescent="0.25">
      <c r="A44" t="str">
        <f>CONCATENATE("R",MATCH("1 GMP_deg + 2 H2O = 1 NH3 + 1 ribose-5-phosphate + 1 xanthine ",Master!$C:$C,0)," = (!1R",MATCH("1 ATP + 1 H2O + 1 L-Glutamine + 1 XMP = 1 AMP + 1 GMP + 1 L-Glutamate + 1 PPi + 2 Proton ",Master!$C:$C,0),")")</f>
        <v>R539 = (!1R514)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Master</vt:lpstr>
      <vt:lpstr>Reactions</vt:lpstr>
      <vt:lpstr>Metabolites</vt:lpstr>
      <vt:lpstr>BIOMASS_Myell</vt:lpstr>
      <vt:lpstr>BIOMASS_Geo</vt:lpstr>
      <vt:lpstr>grfile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Jennings, Ryan</dc:creator>
  <cp:lastModifiedBy>Collins, Laura</cp:lastModifiedBy>
  <cp:lastPrinted>2014-11-13T19:52:41Z</cp:lastPrinted>
  <dcterms:created xsi:type="dcterms:W3CDTF">2014-04-28T22:41:28Z</dcterms:created>
  <dcterms:modified xsi:type="dcterms:W3CDTF">2015-11-17T23:58:38Z</dcterms:modified>
</cp:coreProperties>
</file>