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8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/Users/schepens/Documents/Grad School/Research/NSF Research/Inhibition/Lab/"/>
    </mc:Choice>
  </mc:AlternateContent>
  <bookViews>
    <workbookView xWindow="820" yWindow="460" windowWidth="22820" windowHeight="15840"/>
  </bookViews>
  <sheets>
    <sheet name="Aciv vs. Growth Rate" sheetId="4" r:id="rId1"/>
    <sheet name="20gperLNaLactate" sheetId="6" r:id="rId2"/>
    <sheet name="20gperLNaLactate (2)" sheetId="8" r:id="rId3"/>
    <sheet name="8gperLNaLactate" sheetId="7" r:id="rId4"/>
    <sheet name="10gperLNaLactate" sheetId="5" r:id="rId5"/>
    <sheet name="5gperLNaLactate" sheetId="2" r:id="rId6"/>
    <sheet name="3gperLNaLactate" sheetId="1" r:id="rId7"/>
    <sheet name="1gperLNaLactate" sheetId="3" r:id="rId8"/>
  </sheets>
  <calcPr calcId="162913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8" l="1"/>
  <c r="E16" i="8"/>
  <c r="D16" i="8"/>
  <c r="F21" i="8"/>
  <c r="D21" i="8"/>
  <c r="E21" i="8"/>
  <c r="F15" i="8"/>
  <c r="E15" i="8"/>
  <c r="D15" i="8"/>
  <c r="F14" i="8"/>
  <c r="E14" i="8"/>
  <c r="D14" i="8"/>
  <c r="E13" i="8"/>
  <c r="F13" i="8"/>
  <c r="D13" i="8"/>
  <c r="F15" i="7"/>
  <c r="E15" i="7"/>
  <c r="D15" i="7"/>
  <c r="E19" i="7"/>
  <c r="F14" i="7"/>
  <c r="E14" i="7"/>
  <c r="D14" i="7"/>
  <c r="E13" i="7"/>
  <c r="F19" i="7"/>
  <c r="D19" i="7"/>
  <c r="F13" i="7"/>
  <c r="D13" i="7"/>
  <c r="F12" i="7"/>
  <c r="E12" i="7"/>
  <c r="D12" i="7"/>
  <c r="F11" i="7"/>
  <c r="E11" i="7"/>
  <c r="D11" i="7"/>
  <c r="C16" i="8"/>
  <c r="C15" i="8"/>
  <c r="C14" i="8"/>
  <c r="E22" i="8"/>
  <c r="C13" i="8"/>
  <c r="C12" i="8"/>
  <c r="C11" i="8"/>
  <c r="C10" i="8"/>
  <c r="C9" i="8"/>
  <c r="C8" i="8"/>
  <c r="C7" i="8"/>
  <c r="C6" i="8"/>
  <c r="C15" i="7"/>
  <c r="C14" i="7"/>
  <c r="C13" i="7"/>
  <c r="C12" i="7"/>
  <c r="C11" i="7"/>
  <c r="C10" i="7"/>
  <c r="C9" i="7"/>
  <c r="C8" i="7"/>
  <c r="C7" i="7"/>
  <c r="C6" i="7"/>
  <c r="D20" i="7"/>
  <c r="D22" i="8"/>
  <c r="F22" i="8"/>
  <c r="F20" i="7"/>
  <c r="E20" i="7"/>
  <c r="F21" i="6"/>
  <c r="E21" i="6"/>
  <c r="D21" i="6"/>
  <c r="C16" i="6"/>
  <c r="F16" i="6"/>
  <c r="E16" i="6"/>
  <c r="D16" i="6"/>
  <c r="F15" i="6"/>
  <c r="F14" i="6"/>
  <c r="F18" i="3"/>
  <c r="H22" i="8"/>
  <c r="H21" i="8"/>
  <c r="G22" i="8"/>
  <c r="G21" i="8"/>
  <c r="G20" i="7"/>
  <c r="H19" i="7"/>
  <c r="H20" i="7"/>
  <c r="G19" i="7"/>
  <c r="C15" i="6"/>
  <c r="C14" i="6"/>
  <c r="C13" i="6"/>
  <c r="C12" i="6"/>
  <c r="C11" i="6"/>
  <c r="C10" i="6"/>
  <c r="C9" i="6"/>
  <c r="C8" i="6"/>
  <c r="C7" i="6"/>
  <c r="C6" i="6"/>
  <c r="F22" i="6"/>
  <c r="D22" i="6"/>
  <c r="E22" i="6"/>
  <c r="E15" i="5"/>
  <c r="D15" i="5"/>
  <c r="F15" i="5"/>
  <c r="C15" i="5"/>
  <c r="F19" i="5"/>
  <c r="F14" i="5"/>
  <c r="E14" i="5"/>
  <c r="D14" i="5"/>
  <c r="G22" i="6"/>
  <c r="H22" i="6"/>
  <c r="H21" i="6"/>
  <c r="G21" i="6"/>
  <c r="E19" i="5"/>
  <c r="D19" i="5"/>
  <c r="F13" i="5"/>
  <c r="E13" i="5"/>
  <c r="D13" i="5"/>
  <c r="D20" i="5"/>
  <c r="F12" i="5"/>
  <c r="E12" i="5"/>
  <c r="D12" i="5"/>
  <c r="F11" i="5"/>
  <c r="E11" i="5"/>
  <c r="D11" i="5"/>
  <c r="C14" i="5"/>
  <c r="C13" i="5"/>
  <c r="C12" i="5"/>
  <c r="C11" i="5"/>
  <c r="F20" i="5"/>
  <c r="C10" i="5"/>
  <c r="C9" i="5"/>
  <c r="C8" i="5"/>
  <c r="C7" i="5"/>
  <c r="C6" i="5"/>
  <c r="E20" i="5"/>
  <c r="F13" i="3"/>
  <c r="E13" i="3"/>
  <c r="D13" i="3"/>
  <c r="E18" i="3"/>
  <c r="D18" i="3"/>
  <c r="F12" i="3"/>
  <c r="E12" i="3"/>
  <c r="D12" i="3"/>
  <c r="D11" i="3"/>
  <c r="C13" i="3"/>
  <c r="C12" i="3"/>
  <c r="C11" i="3"/>
  <c r="C10" i="3"/>
  <c r="C9" i="3"/>
  <c r="C8" i="3"/>
  <c r="C7" i="3"/>
  <c r="C6" i="3"/>
  <c r="G20" i="5"/>
  <c r="H20" i="5"/>
  <c r="H19" i="5"/>
  <c r="G19" i="5"/>
  <c r="E19" i="3"/>
  <c r="D19" i="3"/>
  <c r="F19" i="3"/>
  <c r="H18" i="3"/>
  <c r="G18" i="3"/>
  <c r="G19" i="3"/>
  <c r="H19" i="3"/>
  <c r="D14" i="2"/>
  <c r="F14" i="2"/>
  <c r="E14" i="2"/>
  <c r="C14" i="2"/>
  <c r="E19" i="2"/>
  <c r="F13" i="2"/>
  <c r="E13" i="2"/>
  <c r="D13" i="2"/>
  <c r="F19" i="2"/>
  <c r="D19" i="2"/>
  <c r="F12" i="2"/>
  <c r="E12" i="2"/>
  <c r="D12" i="2"/>
  <c r="F11" i="2"/>
  <c r="E11" i="2"/>
  <c r="D11" i="2"/>
  <c r="F14" i="1"/>
  <c r="E14" i="1"/>
  <c r="D14" i="1"/>
  <c r="E18" i="1"/>
  <c r="F18" i="1"/>
  <c r="F13" i="1"/>
  <c r="E13" i="1"/>
  <c r="D13" i="1"/>
  <c r="C13" i="1"/>
  <c r="C14" i="1"/>
  <c r="F12" i="1"/>
  <c r="D12" i="1"/>
  <c r="C11" i="1"/>
  <c r="C12" i="1"/>
  <c r="C9" i="1"/>
  <c r="C10" i="1"/>
  <c r="D18" i="1"/>
  <c r="E20" i="2"/>
  <c r="C13" i="2"/>
  <c r="C12" i="2"/>
  <c r="C11" i="2"/>
  <c r="C10" i="2"/>
  <c r="C9" i="2"/>
  <c r="C8" i="2"/>
  <c r="C7" i="2"/>
  <c r="C6" i="2"/>
  <c r="C7" i="1"/>
  <c r="C8" i="1"/>
  <c r="C6" i="1"/>
  <c r="H19" i="2"/>
  <c r="F20" i="2"/>
  <c r="G18" i="1"/>
  <c r="D19" i="1"/>
  <c r="H18" i="1"/>
  <c r="F19" i="1"/>
  <c r="E19" i="1"/>
  <c r="G19" i="2"/>
  <c r="D20" i="2"/>
  <c r="G19" i="1"/>
  <c r="H19" i="1"/>
  <c r="H20" i="2"/>
  <c r="G20" i="2"/>
</calcChain>
</file>

<file path=xl/sharedStrings.xml><?xml version="1.0" encoding="utf-8"?>
<sst xmlns="http://schemas.openxmlformats.org/spreadsheetml/2006/main" count="93" uniqueCount="25">
  <si>
    <t>Starting pH: 7.03</t>
  </si>
  <si>
    <t>Time</t>
  </si>
  <si>
    <t>Hours</t>
  </si>
  <si>
    <t>A</t>
  </si>
  <si>
    <t>B</t>
  </si>
  <si>
    <t>C</t>
  </si>
  <si>
    <t>Control</t>
  </si>
  <si>
    <t>Final pH</t>
  </si>
  <si>
    <t>Average:</t>
  </si>
  <si>
    <t>StDev</t>
  </si>
  <si>
    <t>µ (hr-1)</t>
  </si>
  <si>
    <t>Time (hr)</t>
  </si>
  <si>
    <t>Media: 1X M9 + 3g/L NaLactate</t>
  </si>
  <si>
    <t>Sterile</t>
  </si>
  <si>
    <t>Starting pH: 7.01</t>
  </si>
  <si>
    <t>Media: 1X M9 + 5g/L NaLactate</t>
  </si>
  <si>
    <t>Media: 1X M9 + 1g/L NaLactate</t>
  </si>
  <si>
    <t>Starting pH: 7.00</t>
  </si>
  <si>
    <t>NaLactate g/L</t>
  </si>
  <si>
    <t>Average Growth Rate</t>
  </si>
  <si>
    <t>Media: 1X M9 + 10g/L NaLactate</t>
  </si>
  <si>
    <t>Starting pH: 6.96</t>
  </si>
  <si>
    <t>Media: 1X M9 + 20g/L NaLactate</t>
  </si>
  <si>
    <t>Starting pH: 6.99</t>
  </si>
  <si>
    <t>Media: 1X M9 + 8g/L NaLactate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</si>
</sst>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\ h:mm;@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0" fontId="2" fillId="0" borderId="0" xfId="1" applyFont="1" applyBorder="1"/>
    <xf numFmtId="0" fontId="3" fillId="0" borderId="0" xfId="2" applyAlignment="1">
      <alignment horizontal="left"/>
    </xf>
    <xf numFmtId="0" fontId="3" fillId="0" borderId="0" xfId="2" applyAlignment="1">
      <alignment horizontal="center"/>
    </xf>
    <xf numFmtId="164" fontId="3" fillId="0" borderId="0" xfId="2" applyNumberFormat="1" applyAlignment="1">
      <alignment horizontal="left"/>
    </xf>
    <xf numFmtId="2" fontId="3" fillId="0" borderId="0" xfId="2" applyNumberFormat="1" applyAlignment="1">
      <alignment horizontal="left"/>
    </xf>
    <xf numFmtId="0" fontId="3" fillId="0" borderId="0" xfId="2"/>
    <xf numFmtId="0" fontId="3" fillId="0" borderId="0" xfId="2" applyNumberFormat="1"/>
    <xf numFmtId="164" fontId="0" fillId="0" borderId="0" xfId="0" applyNumberFormat="1"/>
    <xf numFmtId="0" fontId="4" fillId="0" borderId="0" xfId="2" applyFont="1"/>
    <xf numFmtId="0" fontId="3" fillId="0" borderId="0" xfId="2" applyFill="1"/>
    <xf numFmtId="0" fontId="3" fillId="0" borderId="0" xfId="2" applyNumberFormat="1" applyFill="1"/>
    <xf numFmtId="0" fontId="3" fillId="0" borderId="0" xfId="0" applyFont="1"/>
    <xf numFmtId="2" fontId="3" fillId="0" borderId="0" xfId="2" applyNumberFormat="1" applyFill="1" applyAlignment="1">
      <alignment horizontal="left"/>
    </xf>
    <xf numFmtId="22" fontId="0" fillId="0" borderId="0" xfId="0" applyNumberFormat="1"/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</Relationships>
</file>

<file path=xl/charts/_rels/chart13.xml.rels><?xml version="1.0" encoding="UTF-8" standalone="yes"?>
<Relationships xmlns="http://schemas.openxmlformats.org/package/2006/relationships"><Relationship Id="rId1" Type="http://schemas.microsoft.com/office/2011/relationships/chartStyle" Target="style13.xml"/><Relationship Id="rId2" Type="http://schemas.microsoft.com/office/2011/relationships/chartColorStyle" Target="colors13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14.xml"/><Relationship Id="rId2" Type="http://schemas.microsoft.com/office/2011/relationships/chartColorStyle" Target="colors14.xml"/></Relationships>
</file>

<file path=xl/charts/_rels/chart15.xml.rels><?xml version="1.0" encoding="UTF-8" standalone="yes"?>
<Relationships xmlns="http://schemas.openxmlformats.org/package/2006/relationships"><Relationship Id="rId1" Type="http://schemas.microsoft.com/office/2011/relationships/chartStyle" Target="style15.xml"/><Relationship Id="rId2" Type="http://schemas.microsoft.com/office/2011/relationships/chartColorStyle" Target="colors15.xml"/></Relationships>
</file>

<file path=xl/charts/_rels/chart16.xml.rels><?xml version="1.0" encoding="UTF-8" standalone="yes"?>
<Relationships xmlns="http://schemas.openxmlformats.org/package/2006/relationships"><Relationship Id="rId1" Type="http://schemas.microsoft.com/office/2011/relationships/chartStyle" Target="style16.xml"/><Relationship Id="rId2" Type="http://schemas.microsoft.com/office/2011/relationships/chartColorStyle" Target="colors16.xml"/></Relationships>
</file>

<file path=xl/charts/_rels/chart17.xml.rels><?xml version="1.0" encoding="UTF-8" standalone="yes"?>
<Relationships xmlns="http://schemas.openxmlformats.org/package/2006/relationships"><Relationship Id="rId1" Type="http://schemas.microsoft.com/office/2011/relationships/chartStyle" Target="style17.xml"/><Relationship Id="rId2" Type="http://schemas.microsoft.com/office/2011/relationships/chartColorStyle" Target="colors17.xml"/></Relationships>
</file>

<file path=xl/charts/_rels/chart18.xml.rels><?xml version="1.0" encoding="UTF-8" standalone="yes"?>
<Relationships xmlns="http://schemas.openxmlformats.org/package/2006/relationships"><Relationship Id="rId1" Type="http://schemas.microsoft.com/office/2011/relationships/chartStyle" Target="style18.xml"/><Relationship Id="rId2" Type="http://schemas.microsoft.com/office/2011/relationships/chartColorStyle" Target="colors18.xml"/></Relationships>
</file>

<file path=xl/charts/_rels/chart19.xml.rels><?xml version="1.0" encoding="UTF-8" standalone="yes"?>
<Relationships xmlns="http://schemas.openxmlformats.org/package/2006/relationships"><Relationship Id="rId1" Type="http://schemas.microsoft.com/office/2011/relationships/chartStyle" Target="style19.xml"/><Relationship Id="rId2" Type="http://schemas.microsoft.com/office/2011/relationships/chartColorStyle" Target="colors19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20.xml.rels><?xml version="1.0" encoding="UTF-8" standalone="yes"?>
<Relationships xmlns="http://schemas.openxmlformats.org/package/2006/relationships"><Relationship Id="rId1" Type="http://schemas.microsoft.com/office/2011/relationships/chartStyle" Target="style20.xml"/><Relationship Id="rId2" Type="http://schemas.microsoft.com/office/2011/relationships/chartColorStyle" Target="colors20.xml"/></Relationships>
</file>

<file path=xl/charts/_rels/chart21.xml.rels><?xml version="1.0" encoding="UTF-8" standalone="yes"?>
<Relationships xmlns="http://schemas.openxmlformats.org/package/2006/relationships"><Relationship Id="rId1" Type="http://schemas.microsoft.com/office/2011/relationships/chartStyle" Target="style21.xml"/><Relationship Id="rId2" Type="http://schemas.microsoft.com/office/2011/relationships/chartColorStyle" Target="colors21.xml"/></Relationships>
</file>

<file path=xl/charts/_rels/chart22.xml.rels><?xml version="1.0" encoding="UTF-8" standalone="yes"?>
<Relationships xmlns="http://schemas.openxmlformats.org/package/2006/relationships"><Relationship Id="rId1" Type="http://schemas.microsoft.com/office/2011/relationships/chartStyle" Target="style22.xml"/><Relationship Id="rId2" Type="http://schemas.microsoft.com/office/2011/relationships/chartColorStyle" Target="colors22.xml"/></Relationships>
</file>

<file path=xl/charts/_rels/chart23.xml.rels><?xml version="1.0" encoding="UTF-8" standalone="yes"?>
<Relationships xmlns="http://schemas.openxmlformats.org/package/2006/relationships"><Relationship Id="rId1" Type="http://schemas.microsoft.com/office/2011/relationships/chartStyle" Target="style23.xml"/><Relationship Id="rId2" Type="http://schemas.microsoft.com/office/2011/relationships/chartColorStyle" Target="colors23.xml"/></Relationships>
</file>

<file path=xl/charts/_rels/chart24.xml.rels><?xml version="1.0" encoding="UTF-8" standalone="yes"?>
<Relationships xmlns="http://schemas.openxmlformats.org/package/2006/relationships"><Relationship Id="rId1" Type="http://schemas.microsoft.com/office/2011/relationships/chartStyle" Target="style24.xml"/><Relationship Id="rId2" Type="http://schemas.microsoft.com/office/2011/relationships/chartColorStyle" Target="colors24.xml"/></Relationships>
</file>

<file path=xl/charts/_rels/chart25.xml.rels><?xml version="1.0" encoding="UTF-8" standalone="yes"?>
<Relationships xmlns="http://schemas.openxmlformats.org/package/2006/relationships"><Relationship Id="rId1" Type="http://schemas.microsoft.com/office/2011/relationships/chartStyle" Target="style25.xml"/><Relationship Id="rId2" Type="http://schemas.microsoft.com/office/2011/relationships/chartColorStyle" Target="colors25.xml"/></Relationships>
</file>

<file path=xl/charts/_rels/chart26.xml.rels><?xml version="1.0" encoding="UTF-8" standalone="yes"?>
<Relationships xmlns="http://schemas.openxmlformats.org/package/2006/relationships"><Relationship Id="rId1" Type="http://schemas.microsoft.com/office/2011/relationships/chartStyle" Target="style26.xml"/><Relationship Id="rId2" Type="http://schemas.microsoft.com/office/2011/relationships/chartColorStyle" Target="colors26.xml"/></Relationships>
</file>

<file path=xl/charts/_rels/chart27.xml.rels><?xml version="1.0" encoding="UTF-8" standalone="yes"?>
<Relationships xmlns="http://schemas.openxmlformats.org/package/2006/relationships"><Relationship Id="rId1" Type="http://schemas.microsoft.com/office/2011/relationships/chartStyle" Target="style27.xml"/><Relationship Id="rId2" Type="http://schemas.microsoft.com/office/2011/relationships/chartColorStyle" Target="colors27.xml"/></Relationships>
</file>

<file path=xl/charts/_rels/chart28.xml.rels><?xml version="1.0" encoding="UTF-8" standalone="yes"?>
<Relationships xmlns="http://schemas.openxmlformats.org/package/2006/relationships"><Relationship Id="rId1" Type="http://schemas.microsoft.com/office/2011/relationships/chartStyle" Target="style28.xml"/><Relationship Id="rId2" Type="http://schemas.microsoft.com/office/2011/relationships/chartColorStyle" Target="colors28.xml"/></Relationships>
</file>

<file path=xl/charts/_rels/chart29.xml.rels><?xml version="1.0" encoding="UTF-8" standalone="yes"?>
<Relationships xmlns="http://schemas.openxmlformats.org/package/2006/relationships"><Relationship Id="rId1" Type="http://schemas.microsoft.com/office/2011/relationships/chartStyle" Target="style29.xml"/><Relationship Id="rId2" Type="http://schemas.microsoft.com/office/2011/relationships/chartColorStyle" Target="colors29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30.xml.rels><?xml version="1.0" encoding="UTF-8" standalone="yes"?>
<Relationships xmlns="http://schemas.openxmlformats.org/package/2006/relationships"><Relationship Id="rId1" Type="http://schemas.microsoft.com/office/2011/relationships/chartStyle" Target="style30.xml"/><Relationship Id="rId2" Type="http://schemas.microsoft.com/office/2011/relationships/chartColorStyle" Target="colors30.xml"/></Relationships>
</file>

<file path=xl/charts/_rels/chart31.xml.rels><?xml version="1.0" encoding="UTF-8" standalone="yes"?>
<Relationships xmlns="http://schemas.openxmlformats.org/package/2006/relationships"><Relationship Id="rId1" Type="http://schemas.microsoft.com/office/2011/relationships/chartStyle" Target="style31.xml"/><Relationship Id="rId2" Type="http://schemas.microsoft.com/office/2011/relationships/chartColorStyle" Target="colors31.xml"/></Relationships>
</file>

<file path=xl/charts/_rels/chart32.xml.rels><?xml version="1.0" encoding="UTF-8" standalone="yes"?>
<Relationships xmlns="http://schemas.openxmlformats.org/package/2006/relationships"><Relationship Id="rId1" Type="http://schemas.microsoft.com/office/2011/relationships/chartStyle" Target="style32.xml"/><Relationship Id="rId2" Type="http://schemas.microsoft.com/office/2011/relationships/chartColorStyle" Target="colors32.xml"/></Relationships>
</file>

<file path=xl/charts/_rels/chart33.xml.rels><?xml version="1.0" encoding="UTF-8" standalone="yes"?>
<Relationships xmlns="http://schemas.openxmlformats.org/package/2006/relationships"><Relationship Id="rId1" Type="http://schemas.microsoft.com/office/2011/relationships/chartStyle" Target="style33.xml"/><Relationship Id="rId2" Type="http://schemas.microsoft.com/office/2011/relationships/chartColorStyle" Target="colors33.xml"/></Relationships>
</file>

<file path=xl/charts/_rels/chart34.xml.rels><?xml version="1.0" encoding="UTF-8" standalone="yes"?>
<Relationships xmlns="http://schemas.openxmlformats.org/package/2006/relationships"><Relationship Id="rId1" Type="http://schemas.microsoft.com/office/2011/relationships/chartStyle" Target="style34.xml"/><Relationship Id="rId2" Type="http://schemas.microsoft.com/office/2011/relationships/chartColorStyle" Target="colors34.xml"/></Relationships>
</file>

<file path=xl/charts/_rels/chart35.xml.rels><?xml version="1.0" encoding="UTF-8" standalone="yes"?>
<Relationships xmlns="http://schemas.openxmlformats.org/package/2006/relationships"><Relationship Id="rId1" Type="http://schemas.microsoft.com/office/2011/relationships/chartStyle" Target="style35.xml"/><Relationship Id="rId2" Type="http://schemas.microsoft.com/office/2011/relationships/chartColorStyle" Target="colors35.xml"/></Relationships>
</file>

<file path=xl/charts/_rels/chart36.xml.rels><?xml version="1.0" encoding="UTF-8" standalone="yes"?>
<Relationships xmlns="http://schemas.openxmlformats.org/package/2006/relationships"><Relationship Id="rId1" Type="http://schemas.microsoft.com/office/2011/relationships/chartStyle" Target="style36.xml"/><Relationship Id="rId2" Type="http://schemas.microsoft.com/office/2011/relationships/chartColorStyle" Target="colors36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Product inhibition curve - No Glucose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'Aciv vs. Growth Rate'!$C$4</c:f>
              <c:strCache>
                <c:ptCount val="1"/>
                <c:pt idx="0">
                  <c:v>Average Growth Rate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'Aciv vs. Growth Rate'!$D$5:$D$10</c:f>
                <c:numCache>
                  <c:formatCode>General</c:formatCode>
                  <c:ptCount val="6"/>
                  <c:pt idx="0">
                    <c:v>0.01178</c:v>
                  </c:pt>
                  <c:pt idx="1">
                    <c:v>0.00406</c:v>
                  </c:pt>
                  <c:pt idx="2">
                    <c:v>0.00746</c:v>
                  </c:pt>
                  <c:pt idx="3">
                    <c:v>0.00368</c:v>
                  </c:pt>
                  <c:pt idx="4">
                    <c:v>0.0028</c:v>
                  </c:pt>
                  <c:pt idx="5">
                    <c:v>0.00347</c:v>
                  </c:pt>
                </c:numCache>
              </c:numRef>
            </c:plus>
            <c:minus>
              <c:numRef>
                <c:f>'Aciv vs. Growth Rate'!$D$5:$D$10</c:f>
                <c:numCache>
                  <c:formatCode>General</c:formatCode>
                  <c:ptCount val="6"/>
                  <c:pt idx="0">
                    <c:v>0.01178</c:v>
                  </c:pt>
                  <c:pt idx="1">
                    <c:v>0.00406</c:v>
                  </c:pt>
                  <c:pt idx="2">
                    <c:v>0.00746</c:v>
                  </c:pt>
                  <c:pt idx="3">
                    <c:v>0.00368</c:v>
                  </c:pt>
                  <c:pt idx="4">
                    <c:v>0.0028</c:v>
                  </c:pt>
                  <c:pt idx="5">
                    <c:v>0.00347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'Aciv vs. Growth Rate'!$B$5:$B$10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8.0</c:v>
                </c:pt>
                <c:pt idx="4">
                  <c:v>10.0</c:v>
                </c:pt>
                <c:pt idx="5">
                  <c:v>20.0</c:v>
                </c:pt>
              </c:numCache>
            </c:numRef>
          </c:xVal>
          <c:yVal>
            <c:numRef>
              <c:f>'Aciv vs. Growth Rate'!$C$5:$C$10</c:f>
              <c:numCache>
                <c:formatCode>General</c:formatCode>
                <c:ptCount val="6"/>
                <c:pt idx="0">
                  <c:v>0.32518</c:v>
                </c:pt>
                <c:pt idx="1">
                  <c:v>0.36978</c:v>
                </c:pt>
                <c:pt idx="2">
                  <c:v>0.38384</c:v>
                </c:pt>
                <c:pt idx="3">
                  <c:v>0.38881</c:v>
                </c:pt>
                <c:pt idx="4">
                  <c:v>0.3904</c:v>
                </c:pt>
                <c:pt idx="5">
                  <c:v>0.32697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5C-4C6C-98D0-FB5EFD2E5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499552"/>
        <c:axId val="-2116491616"/>
      </c:scatterChart>
      <c:valAx>
        <c:axId val="-2116499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NaLactate 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491616"/>
        <c:crosses val="autoZero"/>
        <c:crossBetween val="midCat"/>
      </c:valAx>
      <c:valAx>
        <c:axId val="-2116491616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Growth Rate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499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0742331798689098"/>
                  <c:y val="-0.6443719795938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'20gperLNaLactate (2)'!$C$12:$C$15</c:f>
              <c:numCache>
                <c:formatCode>0.00</c:formatCode>
                <c:ptCount val="4"/>
                <c:pt idx="0">
                  <c:v>12.75</c:v>
                </c:pt>
                <c:pt idx="1">
                  <c:v>15.65000000002328</c:v>
                </c:pt>
                <c:pt idx="2">
                  <c:v>19.86666666681413</c:v>
                </c:pt>
                <c:pt idx="3">
                  <c:v>22.05000000010477</c:v>
                </c:pt>
              </c:numCache>
            </c:numRef>
          </c:xVal>
          <c:yVal>
            <c:numRef>
              <c:f>'20gperLNaLactate (2)'!$E$12:$E$15</c:f>
              <c:numCache>
                <c:formatCode>General</c:formatCode>
                <c:ptCount val="4"/>
                <c:pt idx="0">
                  <c:v>0.159</c:v>
                </c:pt>
                <c:pt idx="1">
                  <c:v>0.36</c:v>
                </c:pt>
                <c:pt idx="2">
                  <c:v>1.736</c:v>
                </c:pt>
                <c:pt idx="3">
                  <c:v>2.904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BF5-4C67-9874-C3752BD84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150496"/>
        <c:axId val="-2116112928"/>
      </c:scatterChart>
      <c:valAx>
        <c:axId val="-2116150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112928"/>
        <c:crosses val="autoZero"/>
        <c:crossBetween val="midCat"/>
      </c:valAx>
      <c:valAx>
        <c:axId val="-211611292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150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134932518681066"/>
                  <c:y val="-0.55456174385944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'20gperLNaLactate (2)'!$C$12:$C$15</c:f>
              <c:numCache>
                <c:formatCode>0.00</c:formatCode>
                <c:ptCount val="4"/>
                <c:pt idx="0">
                  <c:v>12.75</c:v>
                </c:pt>
                <c:pt idx="1">
                  <c:v>15.65000000002328</c:v>
                </c:pt>
                <c:pt idx="2">
                  <c:v>19.86666666681413</c:v>
                </c:pt>
                <c:pt idx="3">
                  <c:v>22.05000000010477</c:v>
                </c:pt>
              </c:numCache>
            </c:numRef>
          </c:xVal>
          <c:yVal>
            <c:numRef>
              <c:f>'20gperLNaLactate (2)'!$F$12:$F$15</c:f>
              <c:numCache>
                <c:formatCode>General</c:formatCode>
                <c:ptCount val="4"/>
                <c:pt idx="0">
                  <c:v>0.165</c:v>
                </c:pt>
                <c:pt idx="1">
                  <c:v>0.368</c:v>
                </c:pt>
                <c:pt idx="2">
                  <c:v>1.608</c:v>
                </c:pt>
                <c:pt idx="3">
                  <c:v>3.396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85-4A0D-BF07-518017936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5038080"/>
        <c:axId val="-2075036608"/>
      </c:scatterChart>
      <c:valAx>
        <c:axId val="-2075038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5036608"/>
        <c:crosses val="autoZero"/>
        <c:crossBetween val="midCat"/>
      </c:valAx>
      <c:valAx>
        <c:axId val="-207503660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5038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8g/L</a:t>
            </a:r>
            <a:r>
              <a:rPr lang="en-US" baseline="0"/>
              <a:t> NaLactate NO glucose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'8gperLNaLactate'!$C$6:$C$15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3.616666666581295</c:v>
                </c:pt>
                <c:pt idx="2">
                  <c:v>5.733333333337214</c:v>
                </c:pt>
                <c:pt idx="3">
                  <c:v>7.5</c:v>
                </c:pt>
                <c:pt idx="4">
                  <c:v>9.949999999953433</c:v>
                </c:pt>
                <c:pt idx="5">
                  <c:v>12.03333333326736</c:v>
                </c:pt>
                <c:pt idx="6">
                  <c:v>13.83333333337214</c:v>
                </c:pt>
                <c:pt idx="7">
                  <c:v>15.96666666667443</c:v>
                </c:pt>
                <c:pt idx="8">
                  <c:v>16.96666666661622</c:v>
                </c:pt>
                <c:pt idx="9">
                  <c:v>17.70000000006985</c:v>
                </c:pt>
              </c:numCache>
            </c:numRef>
          </c:xVal>
          <c:yVal>
            <c:numRef>
              <c:f>'8gperLNaLactate'!$D$6:$D$15</c:f>
              <c:numCache>
                <c:formatCode>General</c:formatCode>
                <c:ptCount val="10"/>
                <c:pt idx="0">
                  <c:v>0.006</c:v>
                </c:pt>
                <c:pt idx="1">
                  <c:v>0.021</c:v>
                </c:pt>
                <c:pt idx="2">
                  <c:v>0.044</c:v>
                </c:pt>
                <c:pt idx="3">
                  <c:v>0.079</c:v>
                </c:pt>
                <c:pt idx="4">
                  <c:v>0.18</c:v>
                </c:pt>
                <c:pt idx="5">
                  <c:v>0.404</c:v>
                </c:pt>
                <c:pt idx="6">
                  <c:v>0.846</c:v>
                </c:pt>
                <c:pt idx="7">
                  <c:v>1.89</c:v>
                </c:pt>
                <c:pt idx="8">
                  <c:v>2.43</c:v>
                </c:pt>
                <c:pt idx="9">
                  <c:v>2.85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BA3-4E2E-A33C-BF14EE05B76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'8gperLNaLactate'!$C$6:$C$15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3.616666666581295</c:v>
                </c:pt>
                <c:pt idx="2">
                  <c:v>5.733333333337214</c:v>
                </c:pt>
                <c:pt idx="3">
                  <c:v>7.5</c:v>
                </c:pt>
                <c:pt idx="4">
                  <c:v>9.949999999953433</c:v>
                </c:pt>
                <c:pt idx="5">
                  <c:v>12.03333333326736</c:v>
                </c:pt>
                <c:pt idx="6">
                  <c:v>13.83333333337214</c:v>
                </c:pt>
                <c:pt idx="7">
                  <c:v>15.96666666667443</c:v>
                </c:pt>
                <c:pt idx="8">
                  <c:v>16.96666666661622</c:v>
                </c:pt>
                <c:pt idx="9">
                  <c:v>17.70000000006985</c:v>
                </c:pt>
              </c:numCache>
            </c:numRef>
          </c:xVal>
          <c:yVal>
            <c:numRef>
              <c:f>'8gperLNaLactate'!$E$6:$E$15</c:f>
              <c:numCache>
                <c:formatCode>General</c:formatCode>
                <c:ptCount val="10"/>
                <c:pt idx="0">
                  <c:v>0.006</c:v>
                </c:pt>
                <c:pt idx="1">
                  <c:v>0.018</c:v>
                </c:pt>
                <c:pt idx="2">
                  <c:v>0.039</c:v>
                </c:pt>
                <c:pt idx="3">
                  <c:v>0.069</c:v>
                </c:pt>
                <c:pt idx="4">
                  <c:v>0.148</c:v>
                </c:pt>
                <c:pt idx="5">
                  <c:v>0.33</c:v>
                </c:pt>
                <c:pt idx="6">
                  <c:v>0.63</c:v>
                </c:pt>
                <c:pt idx="7">
                  <c:v>1.47</c:v>
                </c:pt>
                <c:pt idx="8">
                  <c:v>2.192</c:v>
                </c:pt>
                <c:pt idx="9">
                  <c:v>2.565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BA3-4E2E-A33C-BF14EE05B763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'8gperLNaLactate'!$C$6:$C$15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3.616666666581295</c:v>
                </c:pt>
                <c:pt idx="2">
                  <c:v>5.733333333337214</c:v>
                </c:pt>
                <c:pt idx="3">
                  <c:v>7.5</c:v>
                </c:pt>
                <c:pt idx="4">
                  <c:v>9.949999999953433</c:v>
                </c:pt>
                <c:pt idx="5">
                  <c:v>12.03333333326736</c:v>
                </c:pt>
                <c:pt idx="6">
                  <c:v>13.83333333337214</c:v>
                </c:pt>
                <c:pt idx="7">
                  <c:v>15.96666666667443</c:v>
                </c:pt>
                <c:pt idx="8">
                  <c:v>16.96666666661622</c:v>
                </c:pt>
                <c:pt idx="9">
                  <c:v>17.70000000006985</c:v>
                </c:pt>
              </c:numCache>
            </c:numRef>
          </c:xVal>
          <c:yVal>
            <c:numRef>
              <c:f>'8gperLNaLactate'!$F$6:$F$15</c:f>
              <c:numCache>
                <c:formatCode>General</c:formatCode>
                <c:ptCount val="10"/>
                <c:pt idx="0">
                  <c:v>0.006</c:v>
                </c:pt>
                <c:pt idx="1">
                  <c:v>0.021</c:v>
                </c:pt>
                <c:pt idx="2">
                  <c:v>0.04</c:v>
                </c:pt>
                <c:pt idx="3">
                  <c:v>0.071</c:v>
                </c:pt>
                <c:pt idx="4">
                  <c:v>0.16</c:v>
                </c:pt>
                <c:pt idx="5">
                  <c:v>0.356</c:v>
                </c:pt>
                <c:pt idx="6">
                  <c:v>0.741</c:v>
                </c:pt>
                <c:pt idx="7">
                  <c:v>1.645</c:v>
                </c:pt>
                <c:pt idx="8">
                  <c:v>2.16</c:v>
                </c:pt>
                <c:pt idx="9">
                  <c:v>2.529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BA3-4E2E-A33C-BF14EE05B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511056"/>
        <c:axId val="-2114504736"/>
      </c:scatterChart>
      <c:valAx>
        <c:axId val="-2114511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504736"/>
        <c:crosses val="autoZero"/>
        <c:crossBetween val="midCat"/>
      </c:valAx>
      <c:valAx>
        <c:axId val="-211450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511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8 g/L NaLactate NO glucose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'8gperLNaLactate'!$C$6:$C$15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3.616666666581295</c:v>
                </c:pt>
                <c:pt idx="2">
                  <c:v>5.733333333337214</c:v>
                </c:pt>
                <c:pt idx="3">
                  <c:v>7.5</c:v>
                </c:pt>
                <c:pt idx="4">
                  <c:v>9.949999999953433</c:v>
                </c:pt>
                <c:pt idx="5">
                  <c:v>12.03333333326736</c:v>
                </c:pt>
                <c:pt idx="6">
                  <c:v>13.83333333337214</c:v>
                </c:pt>
                <c:pt idx="7">
                  <c:v>15.96666666667443</c:v>
                </c:pt>
                <c:pt idx="8">
                  <c:v>16.96666666661622</c:v>
                </c:pt>
                <c:pt idx="9">
                  <c:v>17.70000000006985</c:v>
                </c:pt>
              </c:numCache>
            </c:numRef>
          </c:xVal>
          <c:yVal>
            <c:numRef>
              <c:f>'8gperLNaLactate'!$D$6:$D$15</c:f>
              <c:numCache>
                <c:formatCode>General</c:formatCode>
                <c:ptCount val="10"/>
                <c:pt idx="0">
                  <c:v>0.006</c:v>
                </c:pt>
                <c:pt idx="1">
                  <c:v>0.021</c:v>
                </c:pt>
                <c:pt idx="2">
                  <c:v>0.044</c:v>
                </c:pt>
                <c:pt idx="3">
                  <c:v>0.079</c:v>
                </c:pt>
                <c:pt idx="4">
                  <c:v>0.18</c:v>
                </c:pt>
                <c:pt idx="5">
                  <c:v>0.404</c:v>
                </c:pt>
                <c:pt idx="6">
                  <c:v>0.846</c:v>
                </c:pt>
                <c:pt idx="7">
                  <c:v>1.89</c:v>
                </c:pt>
                <c:pt idx="8">
                  <c:v>2.43</c:v>
                </c:pt>
                <c:pt idx="9">
                  <c:v>2.85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64C-4AE7-8E37-6256E27FBF5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'8gperLNaLactate'!$C$6:$C$15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3.616666666581295</c:v>
                </c:pt>
                <c:pt idx="2">
                  <c:v>5.733333333337214</c:v>
                </c:pt>
                <c:pt idx="3">
                  <c:v>7.5</c:v>
                </c:pt>
                <c:pt idx="4">
                  <c:v>9.949999999953433</c:v>
                </c:pt>
                <c:pt idx="5">
                  <c:v>12.03333333326736</c:v>
                </c:pt>
                <c:pt idx="6">
                  <c:v>13.83333333337214</c:v>
                </c:pt>
                <c:pt idx="7">
                  <c:v>15.96666666667443</c:v>
                </c:pt>
                <c:pt idx="8">
                  <c:v>16.96666666661622</c:v>
                </c:pt>
                <c:pt idx="9">
                  <c:v>17.70000000006985</c:v>
                </c:pt>
              </c:numCache>
            </c:numRef>
          </c:xVal>
          <c:yVal>
            <c:numRef>
              <c:f>'8gperLNaLactate'!$E$6:$E$15</c:f>
              <c:numCache>
                <c:formatCode>General</c:formatCode>
                <c:ptCount val="10"/>
                <c:pt idx="0">
                  <c:v>0.006</c:v>
                </c:pt>
                <c:pt idx="1">
                  <c:v>0.018</c:v>
                </c:pt>
                <c:pt idx="2">
                  <c:v>0.039</c:v>
                </c:pt>
                <c:pt idx="3">
                  <c:v>0.069</c:v>
                </c:pt>
                <c:pt idx="4">
                  <c:v>0.148</c:v>
                </c:pt>
                <c:pt idx="5">
                  <c:v>0.33</c:v>
                </c:pt>
                <c:pt idx="6">
                  <c:v>0.63</c:v>
                </c:pt>
                <c:pt idx="7">
                  <c:v>1.47</c:v>
                </c:pt>
                <c:pt idx="8">
                  <c:v>2.192</c:v>
                </c:pt>
                <c:pt idx="9">
                  <c:v>2.565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64C-4AE7-8E37-6256E27FBF50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'8gperLNaLactate'!$C$6:$C$15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3.616666666581295</c:v>
                </c:pt>
                <c:pt idx="2">
                  <c:v>5.733333333337214</c:v>
                </c:pt>
                <c:pt idx="3">
                  <c:v>7.5</c:v>
                </c:pt>
                <c:pt idx="4">
                  <c:v>9.949999999953433</c:v>
                </c:pt>
                <c:pt idx="5">
                  <c:v>12.03333333326736</c:v>
                </c:pt>
                <c:pt idx="6">
                  <c:v>13.83333333337214</c:v>
                </c:pt>
                <c:pt idx="7">
                  <c:v>15.96666666667443</c:v>
                </c:pt>
                <c:pt idx="8">
                  <c:v>16.96666666661622</c:v>
                </c:pt>
                <c:pt idx="9">
                  <c:v>17.70000000006985</c:v>
                </c:pt>
              </c:numCache>
            </c:numRef>
          </c:xVal>
          <c:yVal>
            <c:numRef>
              <c:f>'8gperLNaLactate'!$F$6:$F$15</c:f>
              <c:numCache>
                <c:formatCode>General</c:formatCode>
                <c:ptCount val="10"/>
                <c:pt idx="0">
                  <c:v>0.006</c:v>
                </c:pt>
                <c:pt idx="1">
                  <c:v>0.021</c:v>
                </c:pt>
                <c:pt idx="2">
                  <c:v>0.04</c:v>
                </c:pt>
                <c:pt idx="3">
                  <c:v>0.071</c:v>
                </c:pt>
                <c:pt idx="4">
                  <c:v>0.16</c:v>
                </c:pt>
                <c:pt idx="5">
                  <c:v>0.356</c:v>
                </c:pt>
                <c:pt idx="6">
                  <c:v>0.741</c:v>
                </c:pt>
                <c:pt idx="7">
                  <c:v>1.645</c:v>
                </c:pt>
                <c:pt idx="8">
                  <c:v>2.16</c:v>
                </c:pt>
                <c:pt idx="9">
                  <c:v>2.529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64C-4AE7-8E37-6256E27FB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2662352"/>
        <c:axId val="-2072660144"/>
      </c:scatterChart>
      <c:valAx>
        <c:axId val="-2072662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2660144"/>
        <c:crosses val="autoZero"/>
        <c:crossBetween val="midCat"/>
      </c:valAx>
      <c:valAx>
        <c:axId val="-2072660144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2662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117574354007888"/>
                  <c:y val="-0.45740350963421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'8gperLNaLactate'!$C$10:$C$13</c:f>
              <c:numCache>
                <c:formatCode>0.00</c:formatCode>
                <c:ptCount val="4"/>
                <c:pt idx="0">
                  <c:v>9.949999999953433</c:v>
                </c:pt>
                <c:pt idx="1">
                  <c:v>12.03333333326736</c:v>
                </c:pt>
                <c:pt idx="2">
                  <c:v>13.83333333337214</c:v>
                </c:pt>
                <c:pt idx="3">
                  <c:v>15.96666666667443</c:v>
                </c:pt>
              </c:numCache>
            </c:numRef>
          </c:xVal>
          <c:yVal>
            <c:numRef>
              <c:f>'8gperLNaLactate'!$D$10:$D$13</c:f>
              <c:numCache>
                <c:formatCode>General</c:formatCode>
                <c:ptCount val="4"/>
                <c:pt idx="0">
                  <c:v>0.18</c:v>
                </c:pt>
                <c:pt idx="1">
                  <c:v>0.404</c:v>
                </c:pt>
                <c:pt idx="2">
                  <c:v>0.846</c:v>
                </c:pt>
                <c:pt idx="3">
                  <c:v>1.89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9A2-4B9D-9E92-5178F38A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2526096"/>
        <c:axId val="-2072522640"/>
      </c:scatterChart>
      <c:valAx>
        <c:axId val="-207252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2522640"/>
        <c:crosses val="autoZero"/>
        <c:crossBetween val="midCat"/>
      </c:valAx>
      <c:valAx>
        <c:axId val="-2072522640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2526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0789785293231788"/>
                  <c:y val="-0.4620724449333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'8gperLNaLactate'!$C$11:$C$14</c:f>
              <c:numCache>
                <c:formatCode>0.00</c:formatCode>
                <c:ptCount val="4"/>
                <c:pt idx="0">
                  <c:v>12.03333333326736</c:v>
                </c:pt>
                <c:pt idx="1">
                  <c:v>13.83333333337214</c:v>
                </c:pt>
                <c:pt idx="2">
                  <c:v>15.96666666667443</c:v>
                </c:pt>
                <c:pt idx="3">
                  <c:v>16.96666666661622</c:v>
                </c:pt>
              </c:numCache>
            </c:numRef>
          </c:xVal>
          <c:yVal>
            <c:numRef>
              <c:f>'8gperLNaLactate'!$E$11:$E$14</c:f>
              <c:numCache>
                <c:formatCode>General</c:formatCode>
                <c:ptCount val="4"/>
                <c:pt idx="0">
                  <c:v>0.33</c:v>
                </c:pt>
                <c:pt idx="1">
                  <c:v>0.63</c:v>
                </c:pt>
                <c:pt idx="2">
                  <c:v>1.47</c:v>
                </c:pt>
                <c:pt idx="3">
                  <c:v>2.192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1E5-4CA9-8065-6F2268B7E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4508464"/>
        <c:axId val="-2074497632"/>
      </c:scatterChart>
      <c:valAx>
        <c:axId val="-207450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4497632"/>
        <c:crosses val="autoZero"/>
        <c:crossBetween val="midCat"/>
      </c:valAx>
      <c:valAx>
        <c:axId val="-207449763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4508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11905138906817"/>
                  <c:y val="-0.467133861363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'8gperLNaLactate'!$C$10:$C$13</c:f>
              <c:numCache>
                <c:formatCode>0.00</c:formatCode>
                <c:ptCount val="4"/>
                <c:pt idx="0">
                  <c:v>9.949999999953433</c:v>
                </c:pt>
                <c:pt idx="1">
                  <c:v>12.03333333326736</c:v>
                </c:pt>
                <c:pt idx="2">
                  <c:v>13.83333333337214</c:v>
                </c:pt>
                <c:pt idx="3">
                  <c:v>15.96666666667443</c:v>
                </c:pt>
              </c:numCache>
            </c:numRef>
          </c:xVal>
          <c:yVal>
            <c:numRef>
              <c:f>'8gperLNaLactate'!$F$10:$F$13</c:f>
              <c:numCache>
                <c:formatCode>General</c:formatCode>
                <c:ptCount val="4"/>
                <c:pt idx="0">
                  <c:v>0.16</c:v>
                </c:pt>
                <c:pt idx="1">
                  <c:v>0.356</c:v>
                </c:pt>
                <c:pt idx="2">
                  <c:v>0.741</c:v>
                </c:pt>
                <c:pt idx="3">
                  <c:v>1.645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A30-496F-A9F2-BD631F79F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5039504"/>
        <c:axId val="-2074469168"/>
      </c:scatterChart>
      <c:valAx>
        <c:axId val="-2075039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4469168"/>
        <c:crosses val="autoZero"/>
        <c:crossBetween val="midCat"/>
      </c:valAx>
      <c:valAx>
        <c:axId val="-207446916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5039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10g/L</a:t>
            </a:r>
            <a:r>
              <a:rPr lang="en-US" baseline="0"/>
              <a:t> NaLactate NO glucose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'10gperLNaLactate'!$C$6:$C$15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2.200000000011642</c:v>
                </c:pt>
                <c:pt idx="2">
                  <c:v>3.916666666686069</c:v>
                </c:pt>
                <c:pt idx="3">
                  <c:v>5.950000000011641</c:v>
                </c:pt>
                <c:pt idx="4">
                  <c:v>8.050000000046566</c:v>
                </c:pt>
                <c:pt idx="5">
                  <c:v>10.68333333340706</c:v>
                </c:pt>
                <c:pt idx="6">
                  <c:v>12.35000000009313</c:v>
                </c:pt>
                <c:pt idx="7">
                  <c:v>13.53333333344199</c:v>
                </c:pt>
                <c:pt idx="8">
                  <c:v>14.46666666667443</c:v>
                </c:pt>
                <c:pt idx="9">
                  <c:v>15.01666666672099</c:v>
                </c:pt>
              </c:numCache>
            </c:numRef>
          </c:xVal>
          <c:yVal>
            <c:numRef>
              <c:f>'10gperLNaLactate'!$D$6:$D$15</c:f>
              <c:numCache>
                <c:formatCode>General</c:formatCode>
                <c:ptCount val="10"/>
                <c:pt idx="0">
                  <c:v>0.008</c:v>
                </c:pt>
                <c:pt idx="1">
                  <c:v>0.02</c:v>
                </c:pt>
                <c:pt idx="2">
                  <c:v>0.036</c:v>
                </c:pt>
                <c:pt idx="3">
                  <c:v>0.068</c:v>
                </c:pt>
                <c:pt idx="4">
                  <c:v>0.14</c:v>
                </c:pt>
                <c:pt idx="5">
                  <c:v>0.38</c:v>
                </c:pt>
                <c:pt idx="6">
                  <c:v>0.765</c:v>
                </c:pt>
                <c:pt idx="7">
                  <c:v>1.23</c:v>
                </c:pt>
                <c:pt idx="8">
                  <c:v>1.617</c:v>
                </c:pt>
                <c:pt idx="9">
                  <c:v>1.864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300-470B-BC87-39FB271DDF2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'10gperLNaLactate'!$C$6:$C$15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2.200000000011642</c:v>
                </c:pt>
                <c:pt idx="2">
                  <c:v>3.916666666686069</c:v>
                </c:pt>
                <c:pt idx="3">
                  <c:v>5.950000000011641</c:v>
                </c:pt>
                <c:pt idx="4">
                  <c:v>8.050000000046566</c:v>
                </c:pt>
                <c:pt idx="5">
                  <c:v>10.68333333340706</c:v>
                </c:pt>
                <c:pt idx="6">
                  <c:v>12.35000000009313</c:v>
                </c:pt>
                <c:pt idx="7">
                  <c:v>13.53333333344199</c:v>
                </c:pt>
                <c:pt idx="8">
                  <c:v>14.46666666667443</c:v>
                </c:pt>
                <c:pt idx="9">
                  <c:v>15.01666666672099</c:v>
                </c:pt>
              </c:numCache>
            </c:numRef>
          </c:xVal>
          <c:yVal>
            <c:numRef>
              <c:f>'10gperLNaLactate'!$E$6:$E$15</c:f>
              <c:numCache>
                <c:formatCode>General</c:formatCode>
                <c:ptCount val="10"/>
                <c:pt idx="0">
                  <c:v>0.008</c:v>
                </c:pt>
                <c:pt idx="1">
                  <c:v>0.019</c:v>
                </c:pt>
                <c:pt idx="2">
                  <c:v>0.035</c:v>
                </c:pt>
                <c:pt idx="3">
                  <c:v>0.067</c:v>
                </c:pt>
                <c:pt idx="4">
                  <c:v>0.131</c:v>
                </c:pt>
                <c:pt idx="5">
                  <c:v>0.356</c:v>
                </c:pt>
                <c:pt idx="6">
                  <c:v>0.699</c:v>
                </c:pt>
                <c:pt idx="7">
                  <c:v>1.13</c:v>
                </c:pt>
                <c:pt idx="8">
                  <c:v>1.505</c:v>
                </c:pt>
                <c:pt idx="9">
                  <c:v>1.72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300-470B-BC87-39FB271DDF21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'10gperLNaLactate'!$C$6:$C$15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2.200000000011642</c:v>
                </c:pt>
                <c:pt idx="2">
                  <c:v>3.916666666686069</c:v>
                </c:pt>
                <c:pt idx="3">
                  <c:v>5.950000000011641</c:v>
                </c:pt>
                <c:pt idx="4">
                  <c:v>8.050000000046566</c:v>
                </c:pt>
                <c:pt idx="5">
                  <c:v>10.68333333340706</c:v>
                </c:pt>
                <c:pt idx="6">
                  <c:v>12.35000000009313</c:v>
                </c:pt>
                <c:pt idx="7">
                  <c:v>13.53333333344199</c:v>
                </c:pt>
                <c:pt idx="8">
                  <c:v>14.46666666667443</c:v>
                </c:pt>
                <c:pt idx="9">
                  <c:v>15.01666666672099</c:v>
                </c:pt>
              </c:numCache>
            </c:numRef>
          </c:xVal>
          <c:yVal>
            <c:numRef>
              <c:f>'10gperLNaLactate'!$F$6:$F$15</c:f>
              <c:numCache>
                <c:formatCode>General</c:formatCode>
                <c:ptCount val="10"/>
                <c:pt idx="0">
                  <c:v>0.007</c:v>
                </c:pt>
                <c:pt idx="1">
                  <c:v>0.018</c:v>
                </c:pt>
                <c:pt idx="2">
                  <c:v>0.033</c:v>
                </c:pt>
                <c:pt idx="3">
                  <c:v>0.063</c:v>
                </c:pt>
                <c:pt idx="4">
                  <c:v>0.13</c:v>
                </c:pt>
                <c:pt idx="5">
                  <c:v>0.332</c:v>
                </c:pt>
                <c:pt idx="6">
                  <c:v>0.654</c:v>
                </c:pt>
                <c:pt idx="7">
                  <c:v>1.05</c:v>
                </c:pt>
                <c:pt idx="8">
                  <c:v>1.491</c:v>
                </c:pt>
                <c:pt idx="9">
                  <c:v>1.728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300-470B-BC87-39FB271DD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4405536"/>
        <c:axId val="-2074399216"/>
      </c:scatterChart>
      <c:valAx>
        <c:axId val="-2074405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4399216"/>
        <c:crosses val="autoZero"/>
        <c:crossBetween val="midCat"/>
      </c:valAx>
      <c:valAx>
        <c:axId val="-207439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4405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10 g/L NaLactate NO glucose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'10gperLNaLactate'!$C$6:$C$13</c:f>
              <c:numCache>
                <c:formatCode>0.00</c:formatCode>
                <c:ptCount val="8"/>
                <c:pt idx="0">
                  <c:v>0.0</c:v>
                </c:pt>
                <c:pt idx="1">
                  <c:v>2.200000000011642</c:v>
                </c:pt>
                <c:pt idx="2">
                  <c:v>3.916666666686069</c:v>
                </c:pt>
                <c:pt idx="3">
                  <c:v>5.950000000011641</c:v>
                </c:pt>
                <c:pt idx="4">
                  <c:v>8.050000000046566</c:v>
                </c:pt>
                <c:pt idx="5">
                  <c:v>10.68333333340706</c:v>
                </c:pt>
                <c:pt idx="6">
                  <c:v>12.35000000009313</c:v>
                </c:pt>
                <c:pt idx="7">
                  <c:v>13.53333333344199</c:v>
                </c:pt>
              </c:numCache>
            </c:numRef>
          </c:xVal>
          <c:yVal>
            <c:numRef>
              <c:f>'10gperLNaLactate'!$D$6:$D$13</c:f>
              <c:numCache>
                <c:formatCode>General</c:formatCode>
                <c:ptCount val="8"/>
                <c:pt idx="0">
                  <c:v>0.008</c:v>
                </c:pt>
                <c:pt idx="1">
                  <c:v>0.02</c:v>
                </c:pt>
                <c:pt idx="2">
                  <c:v>0.036</c:v>
                </c:pt>
                <c:pt idx="3">
                  <c:v>0.068</c:v>
                </c:pt>
                <c:pt idx="4">
                  <c:v>0.14</c:v>
                </c:pt>
                <c:pt idx="5">
                  <c:v>0.38</c:v>
                </c:pt>
                <c:pt idx="6">
                  <c:v>0.765</c:v>
                </c:pt>
                <c:pt idx="7">
                  <c:v>1.23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B80-4E53-821F-E00B0272883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'10gperLNaLactate'!$C$6:$C$13</c:f>
              <c:numCache>
                <c:formatCode>0.00</c:formatCode>
                <c:ptCount val="8"/>
                <c:pt idx="0">
                  <c:v>0.0</c:v>
                </c:pt>
                <c:pt idx="1">
                  <c:v>2.200000000011642</c:v>
                </c:pt>
                <c:pt idx="2">
                  <c:v>3.916666666686069</c:v>
                </c:pt>
                <c:pt idx="3">
                  <c:v>5.950000000011641</c:v>
                </c:pt>
                <c:pt idx="4">
                  <c:v>8.050000000046566</c:v>
                </c:pt>
                <c:pt idx="5">
                  <c:v>10.68333333340706</c:v>
                </c:pt>
                <c:pt idx="6">
                  <c:v>12.35000000009313</c:v>
                </c:pt>
                <c:pt idx="7">
                  <c:v>13.53333333344199</c:v>
                </c:pt>
              </c:numCache>
            </c:numRef>
          </c:xVal>
          <c:yVal>
            <c:numRef>
              <c:f>'10gperLNaLactate'!$E$6:$E$13</c:f>
              <c:numCache>
                <c:formatCode>General</c:formatCode>
                <c:ptCount val="8"/>
                <c:pt idx="0">
                  <c:v>0.008</c:v>
                </c:pt>
                <c:pt idx="1">
                  <c:v>0.019</c:v>
                </c:pt>
                <c:pt idx="2">
                  <c:v>0.035</c:v>
                </c:pt>
                <c:pt idx="3">
                  <c:v>0.067</c:v>
                </c:pt>
                <c:pt idx="4">
                  <c:v>0.131</c:v>
                </c:pt>
                <c:pt idx="5">
                  <c:v>0.356</c:v>
                </c:pt>
                <c:pt idx="6">
                  <c:v>0.699</c:v>
                </c:pt>
                <c:pt idx="7">
                  <c:v>1.13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B80-4E53-821F-E00B02728835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'10gperLNaLactate'!$C$6:$C$13</c:f>
              <c:numCache>
                <c:formatCode>0.00</c:formatCode>
                <c:ptCount val="8"/>
                <c:pt idx="0">
                  <c:v>0.0</c:v>
                </c:pt>
                <c:pt idx="1">
                  <c:v>2.200000000011642</c:v>
                </c:pt>
                <c:pt idx="2">
                  <c:v>3.916666666686069</c:v>
                </c:pt>
                <c:pt idx="3">
                  <c:v>5.950000000011641</c:v>
                </c:pt>
                <c:pt idx="4">
                  <c:v>8.050000000046566</c:v>
                </c:pt>
                <c:pt idx="5">
                  <c:v>10.68333333340706</c:v>
                </c:pt>
                <c:pt idx="6">
                  <c:v>12.35000000009313</c:v>
                </c:pt>
                <c:pt idx="7">
                  <c:v>13.53333333344199</c:v>
                </c:pt>
              </c:numCache>
            </c:numRef>
          </c:xVal>
          <c:yVal>
            <c:numRef>
              <c:f>'10gperLNaLactate'!$F$6:$F$13</c:f>
              <c:numCache>
                <c:formatCode>General</c:formatCode>
                <c:ptCount val="8"/>
                <c:pt idx="0">
                  <c:v>0.007</c:v>
                </c:pt>
                <c:pt idx="1">
                  <c:v>0.018</c:v>
                </c:pt>
                <c:pt idx="2">
                  <c:v>0.033</c:v>
                </c:pt>
                <c:pt idx="3">
                  <c:v>0.063</c:v>
                </c:pt>
                <c:pt idx="4">
                  <c:v>0.13</c:v>
                </c:pt>
                <c:pt idx="5">
                  <c:v>0.332</c:v>
                </c:pt>
                <c:pt idx="6">
                  <c:v>0.654</c:v>
                </c:pt>
                <c:pt idx="7">
                  <c:v>1.05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80-4E53-821F-E00B02728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4357776"/>
        <c:axId val="-2074351392"/>
      </c:scatterChart>
      <c:valAx>
        <c:axId val="-2074357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4351392"/>
        <c:crosses val="autoZero"/>
        <c:crossBetween val="midCat"/>
      </c:valAx>
      <c:valAx>
        <c:axId val="-207435139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4357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117574354007888"/>
                  <c:y val="-0.45740350963421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'10gperLNaLactate'!$C$10:$C$13</c:f>
              <c:numCache>
                <c:formatCode>0.00</c:formatCode>
                <c:ptCount val="4"/>
                <c:pt idx="0">
                  <c:v>8.050000000046566</c:v>
                </c:pt>
                <c:pt idx="1">
                  <c:v>10.68333333340706</c:v>
                </c:pt>
                <c:pt idx="2">
                  <c:v>12.35000000009313</c:v>
                </c:pt>
                <c:pt idx="3">
                  <c:v>13.53333333344199</c:v>
                </c:pt>
              </c:numCache>
            </c:numRef>
          </c:xVal>
          <c:yVal>
            <c:numRef>
              <c:f>'10gperLNaLactate'!$D$10:$D$13</c:f>
              <c:numCache>
                <c:formatCode>General</c:formatCode>
                <c:ptCount val="4"/>
                <c:pt idx="0">
                  <c:v>0.14</c:v>
                </c:pt>
                <c:pt idx="1">
                  <c:v>0.38</c:v>
                </c:pt>
                <c:pt idx="2">
                  <c:v>0.765</c:v>
                </c:pt>
                <c:pt idx="3">
                  <c:v>1.23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E5D-4B73-B4A2-154C8E18C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4320896"/>
        <c:axId val="-2074317440"/>
      </c:scatterChart>
      <c:valAx>
        <c:axId val="-2074320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4317440"/>
        <c:crosses val="autoZero"/>
        <c:crossBetween val="midCat"/>
      </c:valAx>
      <c:valAx>
        <c:axId val="-2074317440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4320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20g/L</a:t>
            </a:r>
            <a:r>
              <a:rPr lang="en-US" baseline="0"/>
              <a:t> NaLactate NO glucose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'20gperLNaLactate'!$C$6:$C$16</c:f>
              <c:numCache>
                <c:formatCode>0.00</c:formatCode>
                <c:ptCount val="11"/>
                <c:pt idx="0">
                  <c:v>0.0</c:v>
                </c:pt>
                <c:pt idx="1">
                  <c:v>2.299999999988358</c:v>
                </c:pt>
                <c:pt idx="2">
                  <c:v>4.20000000006985</c:v>
                </c:pt>
                <c:pt idx="3">
                  <c:v>6.116666666697711</c:v>
                </c:pt>
                <c:pt idx="4">
                  <c:v>7.566666666709352</c:v>
                </c:pt>
                <c:pt idx="5">
                  <c:v>9.716666666732635</c:v>
                </c:pt>
                <c:pt idx="6">
                  <c:v>11.55000000010477</c:v>
                </c:pt>
                <c:pt idx="7">
                  <c:v>12.55000000004657</c:v>
                </c:pt>
                <c:pt idx="8">
                  <c:v>13.76666666666279</c:v>
                </c:pt>
                <c:pt idx="9">
                  <c:v>15.55000000004657</c:v>
                </c:pt>
                <c:pt idx="10">
                  <c:v>18.09999999997672</c:v>
                </c:pt>
              </c:numCache>
            </c:numRef>
          </c:xVal>
          <c:yVal>
            <c:numRef>
              <c:f>'20gperLNaLactate'!$D$6:$D$16</c:f>
              <c:numCache>
                <c:formatCode>General</c:formatCode>
                <c:ptCount val="11"/>
                <c:pt idx="0">
                  <c:v>0.005</c:v>
                </c:pt>
                <c:pt idx="1">
                  <c:v>0.009</c:v>
                </c:pt>
                <c:pt idx="2">
                  <c:v>0.015</c:v>
                </c:pt>
                <c:pt idx="3">
                  <c:v>0.023</c:v>
                </c:pt>
                <c:pt idx="4">
                  <c:v>0.033</c:v>
                </c:pt>
                <c:pt idx="5">
                  <c:v>0.055</c:v>
                </c:pt>
                <c:pt idx="6">
                  <c:v>0.094</c:v>
                </c:pt>
                <c:pt idx="7">
                  <c:v>0.107</c:v>
                </c:pt>
                <c:pt idx="8">
                  <c:v>0.145</c:v>
                </c:pt>
                <c:pt idx="9">
                  <c:v>0.23</c:v>
                </c:pt>
                <c:pt idx="10">
                  <c:v>0.495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A8F-4C39-9E7F-C55CFBDEE99C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'20gperLNaLactate'!$C$6:$C$16</c:f>
              <c:numCache>
                <c:formatCode>0.00</c:formatCode>
                <c:ptCount val="11"/>
                <c:pt idx="0">
                  <c:v>0.0</c:v>
                </c:pt>
                <c:pt idx="1">
                  <c:v>2.299999999988358</c:v>
                </c:pt>
                <c:pt idx="2">
                  <c:v>4.20000000006985</c:v>
                </c:pt>
                <c:pt idx="3">
                  <c:v>6.116666666697711</c:v>
                </c:pt>
                <c:pt idx="4">
                  <c:v>7.566666666709352</c:v>
                </c:pt>
                <c:pt idx="5">
                  <c:v>9.716666666732635</c:v>
                </c:pt>
                <c:pt idx="6">
                  <c:v>11.55000000010477</c:v>
                </c:pt>
                <c:pt idx="7">
                  <c:v>12.55000000004657</c:v>
                </c:pt>
                <c:pt idx="8">
                  <c:v>13.76666666666279</c:v>
                </c:pt>
                <c:pt idx="9">
                  <c:v>15.55000000004657</c:v>
                </c:pt>
                <c:pt idx="10">
                  <c:v>18.09999999997672</c:v>
                </c:pt>
              </c:numCache>
            </c:numRef>
          </c:xVal>
          <c:yVal>
            <c:numRef>
              <c:f>'20gperLNaLactate'!$E$6:$E$16</c:f>
              <c:numCache>
                <c:formatCode>General</c:formatCode>
                <c:ptCount val="11"/>
                <c:pt idx="0">
                  <c:v>0.005</c:v>
                </c:pt>
                <c:pt idx="1">
                  <c:v>0.009</c:v>
                </c:pt>
                <c:pt idx="2">
                  <c:v>0.014</c:v>
                </c:pt>
                <c:pt idx="3">
                  <c:v>0.023</c:v>
                </c:pt>
                <c:pt idx="4">
                  <c:v>0.034</c:v>
                </c:pt>
                <c:pt idx="5">
                  <c:v>0.058</c:v>
                </c:pt>
                <c:pt idx="6">
                  <c:v>0.096</c:v>
                </c:pt>
                <c:pt idx="7">
                  <c:v>0.123</c:v>
                </c:pt>
                <c:pt idx="8">
                  <c:v>0.173</c:v>
                </c:pt>
                <c:pt idx="9">
                  <c:v>0.298</c:v>
                </c:pt>
                <c:pt idx="10">
                  <c:v>0.772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A8F-4C39-9E7F-C55CFBDEE99C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'20gperLNaLactate'!$C$6:$C$16</c:f>
              <c:numCache>
                <c:formatCode>0.00</c:formatCode>
                <c:ptCount val="11"/>
                <c:pt idx="0">
                  <c:v>0.0</c:v>
                </c:pt>
                <c:pt idx="1">
                  <c:v>2.299999999988358</c:v>
                </c:pt>
                <c:pt idx="2">
                  <c:v>4.20000000006985</c:v>
                </c:pt>
                <c:pt idx="3">
                  <c:v>6.116666666697711</c:v>
                </c:pt>
                <c:pt idx="4">
                  <c:v>7.566666666709352</c:v>
                </c:pt>
                <c:pt idx="5">
                  <c:v>9.716666666732635</c:v>
                </c:pt>
                <c:pt idx="6">
                  <c:v>11.55000000010477</c:v>
                </c:pt>
                <c:pt idx="7">
                  <c:v>12.55000000004657</c:v>
                </c:pt>
                <c:pt idx="8">
                  <c:v>13.76666666666279</c:v>
                </c:pt>
                <c:pt idx="9">
                  <c:v>15.55000000004657</c:v>
                </c:pt>
                <c:pt idx="10">
                  <c:v>18.09999999997672</c:v>
                </c:pt>
              </c:numCache>
            </c:numRef>
          </c:xVal>
          <c:yVal>
            <c:numRef>
              <c:f>'20gperLNaLactate'!$F$6:$F$16</c:f>
              <c:numCache>
                <c:formatCode>General</c:formatCode>
                <c:ptCount val="11"/>
                <c:pt idx="0">
                  <c:v>0.007</c:v>
                </c:pt>
                <c:pt idx="1">
                  <c:v>0.014</c:v>
                </c:pt>
                <c:pt idx="2">
                  <c:v>0.023</c:v>
                </c:pt>
                <c:pt idx="3">
                  <c:v>0.039</c:v>
                </c:pt>
                <c:pt idx="4">
                  <c:v>0.059</c:v>
                </c:pt>
                <c:pt idx="5">
                  <c:v>0.107</c:v>
                </c:pt>
                <c:pt idx="6">
                  <c:v>0.186</c:v>
                </c:pt>
                <c:pt idx="7">
                  <c:v>0.25</c:v>
                </c:pt>
                <c:pt idx="8">
                  <c:v>0.398</c:v>
                </c:pt>
                <c:pt idx="9">
                  <c:v>0.81</c:v>
                </c:pt>
                <c:pt idx="10">
                  <c:v>1.764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8F-4C39-9E7F-C55CFBDEE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553888"/>
        <c:axId val="-2114579552"/>
      </c:scatterChart>
      <c:valAx>
        <c:axId val="-2114553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579552"/>
        <c:crosses val="autoZero"/>
        <c:crossBetween val="midCat"/>
      </c:valAx>
      <c:valAx>
        <c:axId val="-211457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553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0789785293231788"/>
                  <c:y val="-0.4620724449333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'10gperLNaLactate'!$C$10:$C$13</c:f>
              <c:numCache>
                <c:formatCode>0.00</c:formatCode>
                <c:ptCount val="4"/>
                <c:pt idx="0">
                  <c:v>8.050000000046566</c:v>
                </c:pt>
                <c:pt idx="1">
                  <c:v>10.68333333340706</c:v>
                </c:pt>
                <c:pt idx="2">
                  <c:v>12.35000000009313</c:v>
                </c:pt>
                <c:pt idx="3">
                  <c:v>13.53333333344199</c:v>
                </c:pt>
              </c:numCache>
            </c:numRef>
          </c:xVal>
          <c:yVal>
            <c:numRef>
              <c:f>'10gperLNaLactate'!$E$10:$E$13</c:f>
              <c:numCache>
                <c:formatCode>General</c:formatCode>
                <c:ptCount val="4"/>
                <c:pt idx="0">
                  <c:v>0.131</c:v>
                </c:pt>
                <c:pt idx="1">
                  <c:v>0.356</c:v>
                </c:pt>
                <c:pt idx="2">
                  <c:v>0.699</c:v>
                </c:pt>
                <c:pt idx="3">
                  <c:v>1.13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E37-4DA9-B959-963A69CC4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466576"/>
        <c:axId val="-2114463120"/>
      </c:scatterChart>
      <c:valAx>
        <c:axId val="-2114466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463120"/>
        <c:crosses val="autoZero"/>
        <c:crossBetween val="midCat"/>
      </c:valAx>
      <c:valAx>
        <c:axId val="-2114463120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466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11905138906817"/>
                  <c:y val="-0.467133861363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'10gperLNaLactate'!$C$11:$C$14</c:f>
              <c:numCache>
                <c:formatCode>0.00</c:formatCode>
                <c:ptCount val="4"/>
                <c:pt idx="0">
                  <c:v>10.68333333340706</c:v>
                </c:pt>
                <c:pt idx="1">
                  <c:v>12.35000000009313</c:v>
                </c:pt>
                <c:pt idx="2">
                  <c:v>13.53333333344199</c:v>
                </c:pt>
                <c:pt idx="3">
                  <c:v>14.46666666667443</c:v>
                </c:pt>
              </c:numCache>
            </c:numRef>
          </c:xVal>
          <c:yVal>
            <c:numRef>
              <c:f>'10gperLNaLactate'!$F$11:$F$14</c:f>
              <c:numCache>
                <c:formatCode>General</c:formatCode>
                <c:ptCount val="4"/>
                <c:pt idx="0">
                  <c:v>0.332</c:v>
                </c:pt>
                <c:pt idx="1">
                  <c:v>0.654</c:v>
                </c:pt>
                <c:pt idx="2">
                  <c:v>1.05</c:v>
                </c:pt>
                <c:pt idx="3">
                  <c:v>1.491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97F-4218-970D-1868C8F17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424144"/>
        <c:axId val="-2114420688"/>
      </c:scatterChart>
      <c:valAx>
        <c:axId val="-2114424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420688"/>
        <c:crosses val="autoZero"/>
        <c:crossBetween val="midCat"/>
      </c:valAx>
      <c:valAx>
        <c:axId val="-211442068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424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5g/L</a:t>
            </a:r>
            <a:r>
              <a:rPr lang="en-US" baseline="0"/>
              <a:t> NaLactate NO glucose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3.0</c:v>
                </c:pt>
                <c:pt idx="2">
                  <c:v>4.416666666744276</c:v>
                </c:pt>
                <c:pt idx="3">
                  <c:v>6.483333333337214</c:v>
                </c:pt>
                <c:pt idx="4">
                  <c:v>8.100000000034925</c:v>
                </c:pt>
                <c:pt idx="5">
                  <c:v>11.41666666668607</c:v>
                </c:pt>
                <c:pt idx="6">
                  <c:v>12.68333333329065</c:v>
                </c:pt>
                <c:pt idx="7">
                  <c:v>14.10000000003492</c:v>
                </c:pt>
                <c:pt idx="8">
                  <c:v>15.70000000001164</c:v>
                </c:pt>
              </c:numCache>
            </c:numRef>
          </c:xVal>
          <c:yVal>
            <c:numRef>
              <c:f>'5gperLNaLactate'!$D$6:$D$14</c:f>
              <c:numCache>
                <c:formatCode>General</c:formatCode>
                <c:ptCount val="9"/>
                <c:pt idx="0">
                  <c:v>0.008</c:v>
                </c:pt>
                <c:pt idx="1">
                  <c:v>0.025</c:v>
                </c:pt>
                <c:pt idx="2">
                  <c:v>0.042</c:v>
                </c:pt>
                <c:pt idx="3">
                  <c:v>0.088</c:v>
                </c:pt>
                <c:pt idx="4">
                  <c:v>0.159</c:v>
                </c:pt>
                <c:pt idx="5">
                  <c:v>0.564</c:v>
                </c:pt>
                <c:pt idx="6">
                  <c:v>0.896</c:v>
                </c:pt>
                <c:pt idx="7">
                  <c:v>1.446</c:v>
                </c:pt>
                <c:pt idx="8">
                  <c:v>1.152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B9-4822-BBF7-0551AEE8C89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'5gperLNaLactate'!$C$6:$C$14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3.0</c:v>
                </c:pt>
                <c:pt idx="2">
                  <c:v>4.416666666744276</c:v>
                </c:pt>
                <c:pt idx="3">
                  <c:v>6.483333333337214</c:v>
                </c:pt>
                <c:pt idx="4">
                  <c:v>8.100000000034925</c:v>
                </c:pt>
                <c:pt idx="5">
                  <c:v>11.41666666668607</c:v>
                </c:pt>
                <c:pt idx="6">
                  <c:v>12.68333333329065</c:v>
                </c:pt>
                <c:pt idx="7">
                  <c:v>14.10000000003492</c:v>
                </c:pt>
                <c:pt idx="8">
                  <c:v>15.70000000001164</c:v>
                </c:pt>
              </c:numCache>
            </c:numRef>
          </c:xVal>
          <c:yVal>
            <c:numRef>
              <c:f>'5gperLNaLactate'!$E$6:$E$14</c:f>
              <c:numCache>
                <c:formatCode>General</c:formatCode>
                <c:ptCount val="9"/>
                <c:pt idx="0">
                  <c:v>0.008</c:v>
                </c:pt>
                <c:pt idx="1">
                  <c:v>0.025</c:v>
                </c:pt>
                <c:pt idx="2">
                  <c:v>0.042</c:v>
                </c:pt>
                <c:pt idx="3">
                  <c:v>0.088</c:v>
                </c:pt>
                <c:pt idx="4">
                  <c:v>0.161</c:v>
                </c:pt>
                <c:pt idx="5">
                  <c:v>0.588</c:v>
                </c:pt>
                <c:pt idx="6">
                  <c:v>0.955</c:v>
                </c:pt>
                <c:pt idx="7">
                  <c:v>1.687</c:v>
                </c:pt>
                <c:pt idx="8">
                  <c:v>1.784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9B9-4822-BBF7-0551AEE8C893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'5gperLNaLactate'!$C$6:$C$14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3.0</c:v>
                </c:pt>
                <c:pt idx="2">
                  <c:v>4.416666666744276</c:v>
                </c:pt>
                <c:pt idx="3">
                  <c:v>6.483333333337214</c:v>
                </c:pt>
                <c:pt idx="4">
                  <c:v>8.100000000034925</c:v>
                </c:pt>
                <c:pt idx="5">
                  <c:v>11.41666666668607</c:v>
                </c:pt>
                <c:pt idx="6">
                  <c:v>12.68333333329065</c:v>
                </c:pt>
                <c:pt idx="7">
                  <c:v>14.10000000003492</c:v>
                </c:pt>
                <c:pt idx="8">
                  <c:v>15.70000000001164</c:v>
                </c:pt>
              </c:numCache>
            </c:numRef>
          </c:xVal>
          <c:yVal>
            <c:numRef>
              <c:f>'5gperLNaLactate'!$F$6:$F$14</c:f>
              <c:numCache>
                <c:formatCode>General</c:formatCode>
                <c:ptCount val="9"/>
                <c:pt idx="0">
                  <c:v>0.008</c:v>
                </c:pt>
                <c:pt idx="1">
                  <c:v>0.028</c:v>
                </c:pt>
                <c:pt idx="2">
                  <c:v>0.046</c:v>
                </c:pt>
                <c:pt idx="3">
                  <c:v>0.094</c:v>
                </c:pt>
                <c:pt idx="4">
                  <c:v>0.171</c:v>
                </c:pt>
                <c:pt idx="5">
                  <c:v>0.621</c:v>
                </c:pt>
                <c:pt idx="6">
                  <c:v>1.015</c:v>
                </c:pt>
                <c:pt idx="7">
                  <c:v>1.547</c:v>
                </c:pt>
                <c:pt idx="8">
                  <c:v>1.768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9B9-4822-BBF7-0551AEE8C89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'5gperLNaLactate'!$C$6:$C$14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3.0</c:v>
                </c:pt>
                <c:pt idx="2">
                  <c:v>4.416666666744276</c:v>
                </c:pt>
                <c:pt idx="3">
                  <c:v>6.483333333337214</c:v>
                </c:pt>
                <c:pt idx="4">
                  <c:v>8.100000000034925</c:v>
                </c:pt>
                <c:pt idx="5">
                  <c:v>11.41666666668607</c:v>
                </c:pt>
                <c:pt idx="6">
                  <c:v>12.68333333329065</c:v>
                </c:pt>
                <c:pt idx="7">
                  <c:v>14.10000000003492</c:v>
                </c:pt>
                <c:pt idx="8">
                  <c:v>15.70000000001164</c:v>
                </c:pt>
              </c:numCache>
            </c:numRef>
          </c:xVal>
          <c:yVal>
            <c:numRef>
              <c:f>'5gperLNaLactate'!$G$6:$G$14</c:f>
              <c:numCache>
                <c:formatCode>General</c:formatCode>
                <c:ptCount val="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0.001</c:v>
                </c:pt>
                <c:pt idx="5">
                  <c:v>0.0</c:v>
                </c:pt>
                <c:pt idx="6">
                  <c:v>0.0</c:v>
                </c:pt>
                <c:pt idx="7">
                  <c:v>0.001</c:v>
                </c:pt>
                <c:pt idx="8">
                  <c:v>0.001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9B9-4822-BBF7-0551AEE8C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358736"/>
        <c:axId val="-2114352320"/>
      </c:scatterChart>
      <c:valAx>
        <c:axId val="-211435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352320"/>
        <c:crosses val="autoZero"/>
        <c:crossBetween val="midCat"/>
      </c:valAx>
      <c:valAx>
        <c:axId val="-211435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358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5 g/L NaLactate NO glucose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3.0</c:v>
                </c:pt>
                <c:pt idx="2">
                  <c:v>4.416666666744276</c:v>
                </c:pt>
                <c:pt idx="3">
                  <c:v>6.483333333337214</c:v>
                </c:pt>
                <c:pt idx="4">
                  <c:v>8.100000000034925</c:v>
                </c:pt>
                <c:pt idx="5">
                  <c:v>11.41666666668607</c:v>
                </c:pt>
                <c:pt idx="6">
                  <c:v>12.68333333329065</c:v>
                </c:pt>
                <c:pt idx="7">
                  <c:v>14.10000000003492</c:v>
                </c:pt>
                <c:pt idx="8">
                  <c:v>15.70000000001164</c:v>
                </c:pt>
              </c:numCache>
            </c:numRef>
          </c:xVal>
          <c:yVal>
            <c:numRef>
              <c:f>'5gperLNaLactate'!$D$6:$D$14</c:f>
              <c:numCache>
                <c:formatCode>General</c:formatCode>
                <c:ptCount val="9"/>
                <c:pt idx="0">
                  <c:v>0.008</c:v>
                </c:pt>
                <c:pt idx="1">
                  <c:v>0.025</c:v>
                </c:pt>
                <c:pt idx="2">
                  <c:v>0.042</c:v>
                </c:pt>
                <c:pt idx="3">
                  <c:v>0.088</c:v>
                </c:pt>
                <c:pt idx="4">
                  <c:v>0.159</c:v>
                </c:pt>
                <c:pt idx="5">
                  <c:v>0.564</c:v>
                </c:pt>
                <c:pt idx="6">
                  <c:v>0.896</c:v>
                </c:pt>
                <c:pt idx="7">
                  <c:v>1.446</c:v>
                </c:pt>
                <c:pt idx="8">
                  <c:v>1.152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6BA-4CEC-9351-AD525D7A22DC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'5gperLNaLactate'!$C$6:$C$14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3.0</c:v>
                </c:pt>
                <c:pt idx="2">
                  <c:v>4.416666666744276</c:v>
                </c:pt>
                <c:pt idx="3">
                  <c:v>6.483333333337214</c:v>
                </c:pt>
                <c:pt idx="4">
                  <c:v>8.100000000034925</c:v>
                </c:pt>
                <c:pt idx="5">
                  <c:v>11.41666666668607</c:v>
                </c:pt>
                <c:pt idx="6">
                  <c:v>12.68333333329065</c:v>
                </c:pt>
                <c:pt idx="7">
                  <c:v>14.10000000003492</c:v>
                </c:pt>
                <c:pt idx="8">
                  <c:v>15.70000000001164</c:v>
                </c:pt>
              </c:numCache>
            </c:numRef>
          </c:xVal>
          <c:yVal>
            <c:numRef>
              <c:f>'5gperLNaLactate'!$E$6:$E$14</c:f>
              <c:numCache>
                <c:formatCode>General</c:formatCode>
                <c:ptCount val="9"/>
                <c:pt idx="0">
                  <c:v>0.008</c:v>
                </c:pt>
                <c:pt idx="1">
                  <c:v>0.025</c:v>
                </c:pt>
                <c:pt idx="2">
                  <c:v>0.042</c:v>
                </c:pt>
                <c:pt idx="3">
                  <c:v>0.088</c:v>
                </c:pt>
                <c:pt idx="4">
                  <c:v>0.161</c:v>
                </c:pt>
                <c:pt idx="5">
                  <c:v>0.588</c:v>
                </c:pt>
                <c:pt idx="6">
                  <c:v>0.955</c:v>
                </c:pt>
                <c:pt idx="7">
                  <c:v>1.687</c:v>
                </c:pt>
                <c:pt idx="8">
                  <c:v>1.784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6BA-4CEC-9351-AD525D7A22DC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'5gperLNaLactate'!$C$6:$C$14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3.0</c:v>
                </c:pt>
                <c:pt idx="2">
                  <c:v>4.416666666744276</c:v>
                </c:pt>
                <c:pt idx="3">
                  <c:v>6.483333333337214</c:v>
                </c:pt>
                <c:pt idx="4">
                  <c:v>8.100000000034925</c:v>
                </c:pt>
                <c:pt idx="5">
                  <c:v>11.41666666668607</c:v>
                </c:pt>
                <c:pt idx="6">
                  <c:v>12.68333333329065</c:v>
                </c:pt>
                <c:pt idx="7">
                  <c:v>14.10000000003492</c:v>
                </c:pt>
                <c:pt idx="8">
                  <c:v>15.70000000001164</c:v>
                </c:pt>
              </c:numCache>
            </c:numRef>
          </c:xVal>
          <c:yVal>
            <c:numRef>
              <c:f>'5gperLNaLactate'!$F$6:$F$14</c:f>
              <c:numCache>
                <c:formatCode>General</c:formatCode>
                <c:ptCount val="9"/>
                <c:pt idx="0">
                  <c:v>0.008</c:v>
                </c:pt>
                <c:pt idx="1">
                  <c:v>0.028</c:v>
                </c:pt>
                <c:pt idx="2">
                  <c:v>0.046</c:v>
                </c:pt>
                <c:pt idx="3">
                  <c:v>0.094</c:v>
                </c:pt>
                <c:pt idx="4">
                  <c:v>0.171</c:v>
                </c:pt>
                <c:pt idx="5">
                  <c:v>0.621</c:v>
                </c:pt>
                <c:pt idx="6">
                  <c:v>1.015</c:v>
                </c:pt>
                <c:pt idx="7">
                  <c:v>1.547</c:v>
                </c:pt>
                <c:pt idx="8">
                  <c:v>1.768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6BA-4CEC-9351-AD525D7A2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311616"/>
        <c:axId val="-2114305296"/>
      </c:scatterChart>
      <c:valAx>
        <c:axId val="-2114311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305296"/>
        <c:crosses val="autoZero"/>
        <c:crossBetween val="midCat"/>
      </c:valAx>
      <c:valAx>
        <c:axId val="-2114305296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311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00840698191414598"/>
                  <c:y val="-0.1610556802789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'5gperLNaLactate'!$C$9:$C$12</c:f>
              <c:numCache>
                <c:formatCode>0.00</c:formatCode>
                <c:ptCount val="4"/>
                <c:pt idx="0">
                  <c:v>6.483333333337214</c:v>
                </c:pt>
                <c:pt idx="1">
                  <c:v>8.100000000034925</c:v>
                </c:pt>
                <c:pt idx="2">
                  <c:v>11.41666666668607</c:v>
                </c:pt>
                <c:pt idx="3">
                  <c:v>12.68333333329065</c:v>
                </c:pt>
              </c:numCache>
            </c:numRef>
          </c:xVal>
          <c:yVal>
            <c:numRef>
              <c:f>'5gperLNaLactate'!$D$9:$D$12</c:f>
              <c:numCache>
                <c:formatCode>General</c:formatCode>
                <c:ptCount val="4"/>
                <c:pt idx="0">
                  <c:v>0.088</c:v>
                </c:pt>
                <c:pt idx="1">
                  <c:v>0.159</c:v>
                </c:pt>
                <c:pt idx="2">
                  <c:v>0.564</c:v>
                </c:pt>
                <c:pt idx="3">
                  <c:v>0.896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6A8-4297-B9E4-0B6B763C8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275088"/>
        <c:axId val="-2114271632"/>
      </c:scatterChart>
      <c:valAx>
        <c:axId val="-2114275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271632"/>
        <c:crosses val="autoZero"/>
        <c:crossBetween val="midCat"/>
      </c:valAx>
      <c:valAx>
        <c:axId val="-211427163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275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0113707098088149"/>
                  <c:y val="-0.3716651752865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'5gperLNaLactate'!$C$10:$C$13</c:f>
              <c:numCache>
                <c:formatCode>0.00</c:formatCode>
                <c:ptCount val="4"/>
                <c:pt idx="0">
                  <c:v>8.100000000034925</c:v>
                </c:pt>
                <c:pt idx="1">
                  <c:v>11.41666666668607</c:v>
                </c:pt>
                <c:pt idx="2">
                  <c:v>12.68333333329065</c:v>
                </c:pt>
                <c:pt idx="3">
                  <c:v>14.10000000003492</c:v>
                </c:pt>
              </c:numCache>
            </c:numRef>
          </c:xVal>
          <c:yVal>
            <c:numRef>
              <c:f>'5gperLNaLactate'!$E$10:$E$13</c:f>
              <c:numCache>
                <c:formatCode>General</c:formatCode>
                <c:ptCount val="4"/>
                <c:pt idx="0">
                  <c:v>0.161</c:v>
                </c:pt>
                <c:pt idx="1">
                  <c:v>0.588</c:v>
                </c:pt>
                <c:pt idx="2">
                  <c:v>0.955</c:v>
                </c:pt>
                <c:pt idx="3">
                  <c:v>1.687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CE1-43DB-B955-9DEEFFCFC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239728"/>
        <c:axId val="-2114236272"/>
      </c:scatterChart>
      <c:valAx>
        <c:axId val="-2114239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236272"/>
        <c:crosses val="autoZero"/>
        <c:crossBetween val="midCat"/>
      </c:valAx>
      <c:valAx>
        <c:axId val="-211423627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239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00996945053999398"/>
                  <c:y val="-0.3393010221856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'5gperLNaLactate'!$C$9:$C$12</c:f>
              <c:numCache>
                <c:formatCode>0.00</c:formatCode>
                <c:ptCount val="4"/>
                <c:pt idx="0">
                  <c:v>6.483333333337214</c:v>
                </c:pt>
                <c:pt idx="1">
                  <c:v>8.100000000034925</c:v>
                </c:pt>
                <c:pt idx="2">
                  <c:v>11.41666666668607</c:v>
                </c:pt>
                <c:pt idx="3">
                  <c:v>12.68333333329065</c:v>
                </c:pt>
              </c:numCache>
            </c:numRef>
          </c:xVal>
          <c:yVal>
            <c:numRef>
              <c:f>'5gperLNaLactate'!$F$9:$F$12</c:f>
              <c:numCache>
                <c:formatCode>General</c:formatCode>
                <c:ptCount val="4"/>
                <c:pt idx="0">
                  <c:v>0.094</c:v>
                </c:pt>
                <c:pt idx="1">
                  <c:v>0.171</c:v>
                </c:pt>
                <c:pt idx="2">
                  <c:v>0.621</c:v>
                </c:pt>
                <c:pt idx="3">
                  <c:v>1.015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01-4831-9286-25F7D602F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204368"/>
        <c:axId val="-2114200912"/>
      </c:scatterChart>
      <c:valAx>
        <c:axId val="-2114204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200912"/>
        <c:crosses val="autoZero"/>
        <c:crossBetween val="midCat"/>
      </c:valAx>
      <c:valAx>
        <c:axId val="-211420091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204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23157668440414"/>
                  <c:y val="-0.37508431935553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'3gperLNaLactate'!$C$10:$C$13</c:f>
              <c:numCache>
                <c:formatCode>0.00</c:formatCode>
                <c:ptCount val="4"/>
                <c:pt idx="0">
                  <c:v>7.150000000081491</c:v>
                </c:pt>
                <c:pt idx="1">
                  <c:v>8.050000000046566</c:v>
                </c:pt>
                <c:pt idx="2">
                  <c:v>10.04999999993015</c:v>
                </c:pt>
                <c:pt idx="3">
                  <c:v>11.95000000001164</c:v>
                </c:pt>
              </c:numCache>
            </c:numRef>
          </c:xVal>
          <c:yVal>
            <c:numRef>
              <c:f>'3gperLNaLactate'!$E$10:$E$13</c:f>
              <c:numCache>
                <c:formatCode>General</c:formatCode>
                <c:ptCount val="4"/>
                <c:pt idx="0">
                  <c:v>0.098</c:v>
                </c:pt>
                <c:pt idx="1">
                  <c:v>0.136</c:v>
                </c:pt>
                <c:pt idx="2">
                  <c:v>0.276</c:v>
                </c:pt>
                <c:pt idx="3">
                  <c:v>0.57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D5D-4ED0-9946-ECC25583B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153264"/>
        <c:axId val="-2114149808"/>
      </c:scatterChart>
      <c:valAx>
        <c:axId val="-2114153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149808"/>
        <c:crosses val="autoZero"/>
        <c:crossBetween val="midCat"/>
      </c:valAx>
      <c:valAx>
        <c:axId val="-211414980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153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290465722501411"/>
                  <c:y val="-0.25812117474095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'3gperLNaLactate'!$C$9:$C$12</c:f>
              <c:numCache>
                <c:formatCode>0.00</c:formatCode>
                <c:ptCount val="4"/>
                <c:pt idx="0">
                  <c:v>6.033333333267364</c:v>
                </c:pt>
                <c:pt idx="1">
                  <c:v>7.150000000081491</c:v>
                </c:pt>
                <c:pt idx="2">
                  <c:v>8.050000000046566</c:v>
                </c:pt>
                <c:pt idx="3">
                  <c:v>10.04999999993015</c:v>
                </c:pt>
              </c:numCache>
            </c:numRef>
          </c:xVal>
          <c:yVal>
            <c:numRef>
              <c:f>'3gperLNaLactate'!$F$9:$F$12</c:f>
              <c:numCache>
                <c:formatCode>General</c:formatCode>
                <c:ptCount val="4"/>
                <c:pt idx="0">
                  <c:v>0.083</c:v>
                </c:pt>
                <c:pt idx="1">
                  <c:v>0.128</c:v>
                </c:pt>
                <c:pt idx="2">
                  <c:v>0.176</c:v>
                </c:pt>
                <c:pt idx="3">
                  <c:v>0.374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455-49DA-B35B-0E94F3C09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117136"/>
        <c:axId val="-2114113680"/>
      </c:scatterChart>
      <c:valAx>
        <c:axId val="-2114117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113680"/>
        <c:crosses val="autoZero"/>
        <c:crossBetween val="midCat"/>
      </c:valAx>
      <c:valAx>
        <c:axId val="-2114113680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117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3g/L NaLactate NO</a:t>
            </a:r>
            <a:r>
              <a:rPr lang="en-US" baseline="0"/>
              <a:t> glucose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2.399999999965075</c:v>
                </c:pt>
                <c:pt idx="2">
                  <c:v>3.816666666709352</c:v>
                </c:pt>
                <c:pt idx="3">
                  <c:v>6.033333333267364</c:v>
                </c:pt>
                <c:pt idx="4">
                  <c:v>7.150000000081491</c:v>
                </c:pt>
                <c:pt idx="5">
                  <c:v>8.050000000046566</c:v>
                </c:pt>
                <c:pt idx="6">
                  <c:v>10.04999999993015</c:v>
                </c:pt>
                <c:pt idx="7">
                  <c:v>11.95000000001164</c:v>
                </c:pt>
                <c:pt idx="8">
                  <c:v>14.08333333331393</c:v>
                </c:pt>
              </c:numCache>
            </c:numRef>
          </c:xVal>
          <c:yVal>
            <c:numRef>
              <c:f>'3gperLNaLactate'!$D$6:$D$14</c:f>
              <c:numCache>
                <c:formatCode>General</c:formatCode>
                <c:ptCount val="9"/>
                <c:pt idx="0">
                  <c:v>0.009</c:v>
                </c:pt>
                <c:pt idx="1">
                  <c:v>0.022</c:v>
                </c:pt>
                <c:pt idx="2">
                  <c:v>0.037</c:v>
                </c:pt>
                <c:pt idx="3">
                  <c:v>0.082</c:v>
                </c:pt>
                <c:pt idx="4">
                  <c:v>0.122</c:v>
                </c:pt>
                <c:pt idx="5">
                  <c:v>0.169</c:v>
                </c:pt>
                <c:pt idx="6">
                  <c:v>0.362</c:v>
                </c:pt>
                <c:pt idx="7">
                  <c:v>0.675</c:v>
                </c:pt>
                <c:pt idx="8">
                  <c:v>1.004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A8-4EAD-9277-B47A557BC0D3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2.399999999965075</c:v>
                </c:pt>
                <c:pt idx="2">
                  <c:v>3.816666666709352</c:v>
                </c:pt>
                <c:pt idx="3">
                  <c:v>6.033333333267364</c:v>
                </c:pt>
                <c:pt idx="4">
                  <c:v>7.150000000081491</c:v>
                </c:pt>
                <c:pt idx="5">
                  <c:v>8.050000000046566</c:v>
                </c:pt>
                <c:pt idx="6">
                  <c:v>10.04999999993015</c:v>
                </c:pt>
                <c:pt idx="7">
                  <c:v>11.95000000001164</c:v>
                </c:pt>
                <c:pt idx="8">
                  <c:v>14.08333333331393</c:v>
                </c:pt>
              </c:numCache>
            </c:numRef>
          </c:xVal>
          <c:yVal>
            <c:numRef>
              <c:f>'3gperLNaLactate'!$E$6:$E$14</c:f>
              <c:numCache>
                <c:formatCode>General</c:formatCode>
                <c:ptCount val="9"/>
                <c:pt idx="0">
                  <c:v>0.008</c:v>
                </c:pt>
                <c:pt idx="1">
                  <c:v>0.02</c:v>
                </c:pt>
                <c:pt idx="2">
                  <c:v>0.031</c:v>
                </c:pt>
                <c:pt idx="3">
                  <c:v>0.066</c:v>
                </c:pt>
                <c:pt idx="4">
                  <c:v>0.098</c:v>
                </c:pt>
                <c:pt idx="5">
                  <c:v>0.136</c:v>
                </c:pt>
                <c:pt idx="6">
                  <c:v>0.276</c:v>
                </c:pt>
                <c:pt idx="7">
                  <c:v>0.57</c:v>
                </c:pt>
                <c:pt idx="8">
                  <c:v>1.024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A8-4EAD-9277-B47A557BC0D3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2.399999999965075</c:v>
                </c:pt>
                <c:pt idx="2">
                  <c:v>3.816666666709352</c:v>
                </c:pt>
                <c:pt idx="3">
                  <c:v>6.033333333267364</c:v>
                </c:pt>
                <c:pt idx="4">
                  <c:v>7.150000000081491</c:v>
                </c:pt>
                <c:pt idx="5">
                  <c:v>8.050000000046566</c:v>
                </c:pt>
                <c:pt idx="6">
                  <c:v>10.04999999993015</c:v>
                </c:pt>
                <c:pt idx="7">
                  <c:v>11.95000000001164</c:v>
                </c:pt>
                <c:pt idx="8">
                  <c:v>14.08333333331393</c:v>
                </c:pt>
              </c:numCache>
            </c:numRef>
          </c:xVal>
          <c:yVal>
            <c:numRef>
              <c:f>'3gperLNaLactate'!$F$6:$F$14</c:f>
              <c:numCache>
                <c:formatCode>General</c:formatCode>
                <c:ptCount val="9"/>
                <c:pt idx="0">
                  <c:v>0.009</c:v>
                </c:pt>
                <c:pt idx="1">
                  <c:v>0.022</c:v>
                </c:pt>
                <c:pt idx="2">
                  <c:v>0.037</c:v>
                </c:pt>
                <c:pt idx="3">
                  <c:v>0.083</c:v>
                </c:pt>
                <c:pt idx="4">
                  <c:v>0.128</c:v>
                </c:pt>
                <c:pt idx="5">
                  <c:v>0.176</c:v>
                </c:pt>
                <c:pt idx="6">
                  <c:v>0.374</c:v>
                </c:pt>
                <c:pt idx="7">
                  <c:v>0.72</c:v>
                </c:pt>
                <c:pt idx="8">
                  <c:v>1.016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A8-4EAD-9277-B47A557BC0D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2.399999999965075</c:v>
                </c:pt>
                <c:pt idx="2">
                  <c:v>3.816666666709352</c:v>
                </c:pt>
                <c:pt idx="3">
                  <c:v>6.033333333267364</c:v>
                </c:pt>
                <c:pt idx="4">
                  <c:v>7.150000000081491</c:v>
                </c:pt>
                <c:pt idx="5">
                  <c:v>8.050000000046566</c:v>
                </c:pt>
                <c:pt idx="6">
                  <c:v>10.04999999993015</c:v>
                </c:pt>
                <c:pt idx="7">
                  <c:v>11.95000000001164</c:v>
                </c:pt>
                <c:pt idx="8">
                  <c:v>14.08333333331393</c:v>
                </c:pt>
              </c:numCache>
            </c:numRef>
          </c:xVal>
          <c:yVal>
            <c:numRef>
              <c:f>'3gperLNaLactate'!$G$6:$G$14</c:f>
              <c:numCache>
                <c:formatCode>General</c:formatCode>
                <c:ptCount val="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A8-4EAD-9277-B47A557BC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066048"/>
        <c:axId val="-2114059632"/>
      </c:scatterChart>
      <c:valAx>
        <c:axId val="-2114066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059632"/>
        <c:crosses val="autoZero"/>
        <c:crossBetween val="midCat"/>
      </c:valAx>
      <c:valAx>
        <c:axId val="-211405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066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 g/L NaLactate NO glucose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'20gperLNaLactate'!$C$6:$C$15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2.299999999988358</c:v>
                </c:pt>
                <c:pt idx="2">
                  <c:v>4.20000000006985</c:v>
                </c:pt>
                <c:pt idx="3">
                  <c:v>6.116666666697711</c:v>
                </c:pt>
                <c:pt idx="4">
                  <c:v>7.566666666709352</c:v>
                </c:pt>
                <c:pt idx="5">
                  <c:v>9.716666666732635</c:v>
                </c:pt>
                <c:pt idx="6">
                  <c:v>11.55000000010477</c:v>
                </c:pt>
                <c:pt idx="7">
                  <c:v>12.55000000004657</c:v>
                </c:pt>
                <c:pt idx="8">
                  <c:v>13.76666666666279</c:v>
                </c:pt>
                <c:pt idx="9">
                  <c:v>15.55000000004657</c:v>
                </c:pt>
              </c:numCache>
            </c:numRef>
          </c:xVal>
          <c:yVal>
            <c:numRef>
              <c:f>'20gperLNaLactate'!$D$6:$D$15</c:f>
              <c:numCache>
                <c:formatCode>General</c:formatCode>
                <c:ptCount val="10"/>
                <c:pt idx="0">
                  <c:v>0.005</c:v>
                </c:pt>
                <c:pt idx="1">
                  <c:v>0.009</c:v>
                </c:pt>
                <c:pt idx="2">
                  <c:v>0.015</c:v>
                </c:pt>
                <c:pt idx="3">
                  <c:v>0.023</c:v>
                </c:pt>
                <c:pt idx="4">
                  <c:v>0.033</c:v>
                </c:pt>
                <c:pt idx="5">
                  <c:v>0.055</c:v>
                </c:pt>
                <c:pt idx="6">
                  <c:v>0.094</c:v>
                </c:pt>
                <c:pt idx="7">
                  <c:v>0.107</c:v>
                </c:pt>
                <c:pt idx="8">
                  <c:v>0.145</c:v>
                </c:pt>
                <c:pt idx="9">
                  <c:v>0.23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CCF-45B6-A119-A0CC80BDEB1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2.299999999988358</c:v>
                </c:pt>
                <c:pt idx="2">
                  <c:v>4.20000000006985</c:v>
                </c:pt>
                <c:pt idx="3">
                  <c:v>6.116666666697711</c:v>
                </c:pt>
                <c:pt idx="4">
                  <c:v>7.566666666709352</c:v>
                </c:pt>
                <c:pt idx="5">
                  <c:v>9.716666666732635</c:v>
                </c:pt>
                <c:pt idx="6">
                  <c:v>11.55000000010477</c:v>
                </c:pt>
                <c:pt idx="7">
                  <c:v>12.55000000004657</c:v>
                </c:pt>
                <c:pt idx="8">
                  <c:v>13.76666666666279</c:v>
                </c:pt>
                <c:pt idx="9">
                  <c:v>15.55000000004657</c:v>
                </c:pt>
              </c:numCache>
            </c:numRef>
          </c:xVal>
          <c:yVal>
            <c:numRef>
              <c:f>'20gperLNaLactate'!$E$6:$E$15</c:f>
              <c:numCache>
                <c:formatCode>General</c:formatCode>
                <c:ptCount val="10"/>
                <c:pt idx="0">
                  <c:v>0.005</c:v>
                </c:pt>
                <c:pt idx="1">
                  <c:v>0.009</c:v>
                </c:pt>
                <c:pt idx="2">
                  <c:v>0.014</c:v>
                </c:pt>
                <c:pt idx="3">
                  <c:v>0.023</c:v>
                </c:pt>
                <c:pt idx="4">
                  <c:v>0.034</c:v>
                </c:pt>
                <c:pt idx="5">
                  <c:v>0.058</c:v>
                </c:pt>
                <c:pt idx="6">
                  <c:v>0.096</c:v>
                </c:pt>
                <c:pt idx="7">
                  <c:v>0.123</c:v>
                </c:pt>
                <c:pt idx="8">
                  <c:v>0.173</c:v>
                </c:pt>
                <c:pt idx="9">
                  <c:v>0.298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CCF-45B6-A119-A0CC80BDEB1F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'20gperLNaLactate'!$C$6:$C$15</c:f>
              <c:numCache>
                <c:formatCode>0.00</c:formatCode>
                <c:ptCount val="10"/>
                <c:pt idx="0">
                  <c:v>0.0</c:v>
                </c:pt>
                <c:pt idx="1">
                  <c:v>2.299999999988358</c:v>
                </c:pt>
                <c:pt idx="2">
                  <c:v>4.20000000006985</c:v>
                </c:pt>
                <c:pt idx="3">
                  <c:v>6.116666666697711</c:v>
                </c:pt>
                <c:pt idx="4">
                  <c:v>7.566666666709352</c:v>
                </c:pt>
                <c:pt idx="5">
                  <c:v>9.716666666732635</c:v>
                </c:pt>
                <c:pt idx="6">
                  <c:v>11.55000000010477</c:v>
                </c:pt>
                <c:pt idx="7">
                  <c:v>12.55000000004657</c:v>
                </c:pt>
                <c:pt idx="8">
                  <c:v>13.76666666666279</c:v>
                </c:pt>
                <c:pt idx="9">
                  <c:v>15.55000000004657</c:v>
                </c:pt>
              </c:numCache>
            </c:numRef>
          </c:xVal>
          <c:yVal>
            <c:numRef>
              <c:f>'20gperLNaLactate'!$F$6:$F$15</c:f>
              <c:numCache>
                <c:formatCode>General</c:formatCode>
                <c:ptCount val="10"/>
                <c:pt idx="0">
                  <c:v>0.007</c:v>
                </c:pt>
                <c:pt idx="1">
                  <c:v>0.014</c:v>
                </c:pt>
                <c:pt idx="2">
                  <c:v>0.023</c:v>
                </c:pt>
                <c:pt idx="3">
                  <c:v>0.039</c:v>
                </c:pt>
                <c:pt idx="4">
                  <c:v>0.059</c:v>
                </c:pt>
                <c:pt idx="5">
                  <c:v>0.107</c:v>
                </c:pt>
                <c:pt idx="6">
                  <c:v>0.186</c:v>
                </c:pt>
                <c:pt idx="7">
                  <c:v>0.25</c:v>
                </c:pt>
                <c:pt idx="8">
                  <c:v>0.398</c:v>
                </c:pt>
                <c:pt idx="9">
                  <c:v>0.81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CCF-45B6-A119-A0CC80BDE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414112"/>
        <c:axId val="-2116394512"/>
      </c:scatterChart>
      <c:valAx>
        <c:axId val="-2116414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394512"/>
        <c:crosses val="autoZero"/>
        <c:crossBetween val="midCat"/>
      </c:valAx>
      <c:valAx>
        <c:axId val="-211639451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41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266257055758789"/>
                  <c:y val="-0.2771941659733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'3gperLNaLactate'!$C$9:$C$12</c:f>
              <c:numCache>
                <c:formatCode>0.00</c:formatCode>
                <c:ptCount val="4"/>
                <c:pt idx="0">
                  <c:v>6.033333333267364</c:v>
                </c:pt>
                <c:pt idx="1">
                  <c:v>7.150000000081491</c:v>
                </c:pt>
                <c:pt idx="2">
                  <c:v>8.050000000046566</c:v>
                </c:pt>
                <c:pt idx="3">
                  <c:v>10.04999999993015</c:v>
                </c:pt>
              </c:numCache>
            </c:numRef>
          </c:xVal>
          <c:yVal>
            <c:numRef>
              <c:f>'3gperLNaLactate'!$D$9:$D$12</c:f>
              <c:numCache>
                <c:formatCode>General</c:formatCode>
                <c:ptCount val="4"/>
                <c:pt idx="0">
                  <c:v>0.082</c:v>
                </c:pt>
                <c:pt idx="1">
                  <c:v>0.122</c:v>
                </c:pt>
                <c:pt idx="2">
                  <c:v>0.169</c:v>
                </c:pt>
                <c:pt idx="3">
                  <c:v>0.362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A44-4D00-8AED-0445697CE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030368"/>
        <c:axId val="-2114026912"/>
      </c:scatterChart>
      <c:valAx>
        <c:axId val="-2114030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026912"/>
        <c:crosses val="autoZero"/>
        <c:crossBetween val="midCat"/>
      </c:valAx>
      <c:valAx>
        <c:axId val="-211402691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030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3g/L NaLactate NO glucose</a:t>
            </a:r>
          </a:p>
        </c:rich>
      </c:tx>
      <c:layout>
        <c:manualLayout>
          <c:xMode val="edge"/>
          <c:yMode val="edge"/>
          <c:x val="0.258569520242195"/>
          <c:y val="0.0324074074074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2.399999999965075</c:v>
                </c:pt>
                <c:pt idx="2">
                  <c:v>3.816666666709352</c:v>
                </c:pt>
                <c:pt idx="3">
                  <c:v>6.033333333267364</c:v>
                </c:pt>
                <c:pt idx="4">
                  <c:v>7.150000000081491</c:v>
                </c:pt>
                <c:pt idx="5">
                  <c:v>8.050000000046566</c:v>
                </c:pt>
                <c:pt idx="6">
                  <c:v>10.04999999993015</c:v>
                </c:pt>
                <c:pt idx="7">
                  <c:v>11.95000000001164</c:v>
                </c:pt>
                <c:pt idx="8">
                  <c:v>14.08333333331393</c:v>
                </c:pt>
              </c:numCache>
            </c:numRef>
          </c:xVal>
          <c:yVal>
            <c:numRef>
              <c:f>'3gperLNaLactate'!$D$6:$D$14</c:f>
              <c:numCache>
                <c:formatCode>General</c:formatCode>
                <c:ptCount val="9"/>
                <c:pt idx="0">
                  <c:v>0.009</c:v>
                </c:pt>
                <c:pt idx="1">
                  <c:v>0.022</c:v>
                </c:pt>
                <c:pt idx="2">
                  <c:v>0.037</c:v>
                </c:pt>
                <c:pt idx="3">
                  <c:v>0.082</c:v>
                </c:pt>
                <c:pt idx="4">
                  <c:v>0.122</c:v>
                </c:pt>
                <c:pt idx="5">
                  <c:v>0.169</c:v>
                </c:pt>
                <c:pt idx="6">
                  <c:v>0.362</c:v>
                </c:pt>
                <c:pt idx="7">
                  <c:v>0.675</c:v>
                </c:pt>
                <c:pt idx="8">
                  <c:v>1.004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6A-4E03-87AC-5A18CE3C0908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2.399999999965075</c:v>
                </c:pt>
                <c:pt idx="2">
                  <c:v>3.816666666709352</c:v>
                </c:pt>
                <c:pt idx="3">
                  <c:v>6.033333333267364</c:v>
                </c:pt>
                <c:pt idx="4">
                  <c:v>7.150000000081491</c:v>
                </c:pt>
                <c:pt idx="5">
                  <c:v>8.050000000046566</c:v>
                </c:pt>
                <c:pt idx="6">
                  <c:v>10.04999999993015</c:v>
                </c:pt>
                <c:pt idx="7">
                  <c:v>11.95000000001164</c:v>
                </c:pt>
                <c:pt idx="8">
                  <c:v>14.08333333331393</c:v>
                </c:pt>
              </c:numCache>
            </c:numRef>
          </c:xVal>
          <c:yVal>
            <c:numRef>
              <c:f>'3gperLNaLactate'!$E$6:$E$14</c:f>
              <c:numCache>
                <c:formatCode>General</c:formatCode>
                <c:ptCount val="9"/>
                <c:pt idx="0">
                  <c:v>0.008</c:v>
                </c:pt>
                <c:pt idx="1">
                  <c:v>0.02</c:v>
                </c:pt>
                <c:pt idx="2">
                  <c:v>0.031</c:v>
                </c:pt>
                <c:pt idx="3">
                  <c:v>0.066</c:v>
                </c:pt>
                <c:pt idx="4">
                  <c:v>0.098</c:v>
                </c:pt>
                <c:pt idx="5">
                  <c:v>0.136</c:v>
                </c:pt>
                <c:pt idx="6">
                  <c:v>0.276</c:v>
                </c:pt>
                <c:pt idx="7">
                  <c:v>0.57</c:v>
                </c:pt>
                <c:pt idx="8">
                  <c:v>1.024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6A-4E03-87AC-5A18CE3C0908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'3gperLNaLactate'!$C$6:$C$14</c:f>
              <c:numCache>
                <c:formatCode>0.00</c:formatCode>
                <c:ptCount val="9"/>
                <c:pt idx="0">
                  <c:v>0.0</c:v>
                </c:pt>
                <c:pt idx="1">
                  <c:v>2.399999999965075</c:v>
                </c:pt>
                <c:pt idx="2">
                  <c:v>3.816666666709352</c:v>
                </c:pt>
                <c:pt idx="3">
                  <c:v>6.033333333267364</c:v>
                </c:pt>
                <c:pt idx="4">
                  <c:v>7.150000000081491</c:v>
                </c:pt>
                <c:pt idx="5">
                  <c:v>8.050000000046566</c:v>
                </c:pt>
                <c:pt idx="6">
                  <c:v>10.04999999993015</c:v>
                </c:pt>
                <c:pt idx="7">
                  <c:v>11.95000000001164</c:v>
                </c:pt>
                <c:pt idx="8">
                  <c:v>14.08333333331393</c:v>
                </c:pt>
              </c:numCache>
            </c:numRef>
          </c:xVal>
          <c:yVal>
            <c:numRef>
              <c:f>'3gperLNaLactate'!$F$6:$F$14</c:f>
              <c:numCache>
                <c:formatCode>General</c:formatCode>
                <c:ptCount val="9"/>
                <c:pt idx="0">
                  <c:v>0.009</c:v>
                </c:pt>
                <c:pt idx="1">
                  <c:v>0.022</c:v>
                </c:pt>
                <c:pt idx="2">
                  <c:v>0.037</c:v>
                </c:pt>
                <c:pt idx="3">
                  <c:v>0.083</c:v>
                </c:pt>
                <c:pt idx="4">
                  <c:v>0.128</c:v>
                </c:pt>
                <c:pt idx="5">
                  <c:v>0.176</c:v>
                </c:pt>
                <c:pt idx="6">
                  <c:v>0.374</c:v>
                </c:pt>
                <c:pt idx="7">
                  <c:v>0.72</c:v>
                </c:pt>
                <c:pt idx="8">
                  <c:v>1.016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06A-4E03-87AC-5A18CE3C0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3988256"/>
        <c:axId val="-2113981936"/>
      </c:scatterChart>
      <c:valAx>
        <c:axId val="-211398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3981936"/>
        <c:crosses val="autoZero"/>
        <c:crossBetween val="midCat"/>
      </c:valAx>
      <c:valAx>
        <c:axId val="-2113981936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398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 g/L NaLactate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'1gperLNaLactate'!$C$6:$C$13</c:f>
              <c:numCache>
                <c:formatCode>0.00</c:formatCode>
                <c:ptCount val="8"/>
                <c:pt idx="0">
                  <c:v>0.0</c:v>
                </c:pt>
                <c:pt idx="1">
                  <c:v>2.766666666779201</c:v>
                </c:pt>
                <c:pt idx="2">
                  <c:v>4.33333333331393</c:v>
                </c:pt>
                <c:pt idx="3">
                  <c:v>6.183333333407063</c:v>
                </c:pt>
                <c:pt idx="4">
                  <c:v>8.333333333430346</c:v>
                </c:pt>
                <c:pt idx="5">
                  <c:v>10.8666666666395</c:v>
                </c:pt>
                <c:pt idx="6">
                  <c:v>12.84999999997672</c:v>
                </c:pt>
                <c:pt idx="7">
                  <c:v>13.85000000009313</c:v>
                </c:pt>
              </c:numCache>
            </c:numRef>
          </c:xVal>
          <c:yVal>
            <c:numRef>
              <c:f>'1gperLNaLactate'!$D$6:$D$13</c:f>
              <c:numCache>
                <c:formatCode>General</c:formatCode>
                <c:ptCount val="8"/>
                <c:pt idx="0">
                  <c:v>0.007</c:v>
                </c:pt>
                <c:pt idx="1">
                  <c:v>0.021</c:v>
                </c:pt>
                <c:pt idx="2">
                  <c:v>0.036</c:v>
                </c:pt>
                <c:pt idx="3">
                  <c:v>0.069</c:v>
                </c:pt>
                <c:pt idx="4">
                  <c:v>0.141</c:v>
                </c:pt>
                <c:pt idx="5">
                  <c:v>0.302</c:v>
                </c:pt>
                <c:pt idx="6">
                  <c:v>0.308</c:v>
                </c:pt>
                <c:pt idx="7">
                  <c:v>0.338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258-4A38-A0C7-BD984C0CC6A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'1gperLNaLactate'!$C$6:$C$13</c:f>
              <c:numCache>
                <c:formatCode>0.00</c:formatCode>
                <c:ptCount val="8"/>
                <c:pt idx="0">
                  <c:v>0.0</c:v>
                </c:pt>
                <c:pt idx="1">
                  <c:v>2.766666666779201</c:v>
                </c:pt>
                <c:pt idx="2">
                  <c:v>4.33333333331393</c:v>
                </c:pt>
                <c:pt idx="3">
                  <c:v>6.183333333407063</c:v>
                </c:pt>
                <c:pt idx="4">
                  <c:v>8.333333333430346</c:v>
                </c:pt>
                <c:pt idx="5">
                  <c:v>10.8666666666395</c:v>
                </c:pt>
                <c:pt idx="6">
                  <c:v>12.84999999997672</c:v>
                </c:pt>
                <c:pt idx="7">
                  <c:v>13.85000000009313</c:v>
                </c:pt>
              </c:numCache>
            </c:numRef>
          </c:xVal>
          <c:yVal>
            <c:numRef>
              <c:f>'1gperLNaLactate'!$E$6:$E$13</c:f>
              <c:numCache>
                <c:formatCode>General</c:formatCode>
                <c:ptCount val="8"/>
                <c:pt idx="0">
                  <c:v>0.004</c:v>
                </c:pt>
                <c:pt idx="1">
                  <c:v>0.015</c:v>
                </c:pt>
                <c:pt idx="2">
                  <c:v>0.019</c:v>
                </c:pt>
                <c:pt idx="3">
                  <c:v>0.037</c:v>
                </c:pt>
                <c:pt idx="4">
                  <c:v>0.072</c:v>
                </c:pt>
                <c:pt idx="5">
                  <c:v>0.175</c:v>
                </c:pt>
                <c:pt idx="6">
                  <c:v>0.312</c:v>
                </c:pt>
                <c:pt idx="7">
                  <c:v>0.304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258-4A38-A0C7-BD984C0CC6AE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'1gperLNaLactate'!$C$6:$C$13</c:f>
              <c:numCache>
                <c:formatCode>0.00</c:formatCode>
                <c:ptCount val="8"/>
                <c:pt idx="0">
                  <c:v>0.0</c:v>
                </c:pt>
                <c:pt idx="1">
                  <c:v>2.766666666779201</c:v>
                </c:pt>
                <c:pt idx="2">
                  <c:v>4.33333333331393</c:v>
                </c:pt>
                <c:pt idx="3">
                  <c:v>6.183333333407063</c:v>
                </c:pt>
                <c:pt idx="4">
                  <c:v>8.333333333430346</c:v>
                </c:pt>
                <c:pt idx="5">
                  <c:v>10.8666666666395</c:v>
                </c:pt>
                <c:pt idx="6">
                  <c:v>12.84999999997672</c:v>
                </c:pt>
                <c:pt idx="7">
                  <c:v>13.85000000009313</c:v>
                </c:pt>
              </c:numCache>
            </c:numRef>
          </c:xVal>
          <c:yVal>
            <c:numRef>
              <c:f>'1gperLNaLactate'!$F$6:$F$13</c:f>
              <c:numCache>
                <c:formatCode>General</c:formatCode>
                <c:ptCount val="8"/>
                <c:pt idx="0">
                  <c:v>0.009</c:v>
                </c:pt>
                <c:pt idx="1">
                  <c:v>0.02</c:v>
                </c:pt>
                <c:pt idx="2">
                  <c:v>0.06</c:v>
                </c:pt>
                <c:pt idx="3">
                  <c:v>0.067</c:v>
                </c:pt>
                <c:pt idx="4">
                  <c:v>0.135</c:v>
                </c:pt>
                <c:pt idx="5">
                  <c:v>0.291</c:v>
                </c:pt>
                <c:pt idx="6">
                  <c:v>0.308</c:v>
                </c:pt>
                <c:pt idx="7">
                  <c:v>0.31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258-4A38-A0C7-BD984C0CC6AE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'1gperLNaLactate'!$C$6:$C$13</c:f>
              <c:numCache>
                <c:formatCode>0.00</c:formatCode>
                <c:ptCount val="8"/>
                <c:pt idx="0">
                  <c:v>0.0</c:v>
                </c:pt>
                <c:pt idx="1">
                  <c:v>2.766666666779201</c:v>
                </c:pt>
                <c:pt idx="2">
                  <c:v>4.33333333331393</c:v>
                </c:pt>
                <c:pt idx="3">
                  <c:v>6.183333333407063</c:v>
                </c:pt>
                <c:pt idx="4">
                  <c:v>8.333333333430346</c:v>
                </c:pt>
                <c:pt idx="5">
                  <c:v>10.8666666666395</c:v>
                </c:pt>
                <c:pt idx="6">
                  <c:v>12.84999999997672</c:v>
                </c:pt>
                <c:pt idx="7">
                  <c:v>13.85000000009313</c:v>
                </c:pt>
              </c:numCache>
            </c:numRef>
          </c:xVal>
          <c:yVal>
            <c:numRef>
              <c:f>'1gperLNaLactate'!$G$6:$G$13</c:f>
              <c:numCache>
                <c:formatCode>General</c:formatCode>
                <c:ptCount val="8"/>
                <c:pt idx="0">
                  <c:v>-0.002</c:v>
                </c:pt>
                <c:pt idx="1">
                  <c:v>0.0</c:v>
                </c:pt>
                <c:pt idx="2">
                  <c:v>-0.002</c:v>
                </c:pt>
                <c:pt idx="3">
                  <c:v>0.0</c:v>
                </c:pt>
                <c:pt idx="4">
                  <c:v>-0.002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258-4A38-A0C7-BD984C0CC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837856"/>
        <c:axId val="-2114831504"/>
      </c:scatterChart>
      <c:valAx>
        <c:axId val="-2114837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831504"/>
        <c:crosses val="autoZero"/>
        <c:crossBetween val="midCat"/>
      </c:valAx>
      <c:valAx>
        <c:axId val="-211483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837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1g/L NaLactate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'1gperLNaLactate'!$C$6:$C$13</c:f>
              <c:numCache>
                <c:formatCode>0.00</c:formatCode>
                <c:ptCount val="8"/>
                <c:pt idx="0">
                  <c:v>0.0</c:v>
                </c:pt>
                <c:pt idx="1">
                  <c:v>2.766666666779201</c:v>
                </c:pt>
                <c:pt idx="2">
                  <c:v>4.33333333331393</c:v>
                </c:pt>
                <c:pt idx="3">
                  <c:v>6.183333333407063</c:v>
                </c:pt>
                <c:pt idx="4">
                  <c:v>8.333333333430346</c:v>
                </c:pt>
                <c:pt idx="5">
                  <c:v>10.8666666666395</c:v>
                </c:pt>
                <c:pt idx="6">
                  <c:v>12.84999999997672</c:v>
                </c:pt>
                <c:pt idx="7">
                  <c:v>13.85000000009313</c:v>
                </c:pt>
              </c:numCache>
            </c:numRef>
          </c:xVal>
          <c:yVal>
            <c:numRef>
              <c:f>'1gperLNaLactate'!$D$6:$D$13</c:f>
              <c:numCache>
                <c:formatCode>General</c:formatCode>
                <c:ptCount val="8"/>
                <c:pt idx="0">
                  <c:v>0.007</c:v>
                </c:pt>
                <c:pt idx="1">
                  <c:v>0.021</c:v>
                </c:pt>
                <c:pt idx="2">
                  <c:v>0.036</c:v>
                </c:pt>
                <c:pt idx="3">
                  <c:v>0.069</c:v>
                </c:pt>
                <c:pt idx="4">
                  <c:v>0.141</c:v>
                </c:pt>
                <c:pt idx="5">
                  <c:v>0.302</c:v>
                </c:pt>
                <c:pt idx="6">
                  <c:v>0.308</c:v>
                </c:pt>
                <c:pt idx="7">
                  <c:v>0.338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184-4316-841D-BC50A823401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'1gperLNaLactate'!$C$6:$C$13</c:f>
              <c:numCache>
                <c:formatCode>0.00</c:formatCode>
                <c:ptCount val="8"/>
                <c:pt idx="0">
                  <c:v>0.0</c:v>
                </c:pt>
                <c:pt idx="1">
                  <c:v>2.766666666779201</c:v>
                </c:pt>
                <c:pt idx="2">
                  <c:v>4.33333333331393</c:v>
                </c:pt>
                <c:pt idx="3">
                  <c:v>6.183333333407063</c:v>
                </c:pt>
                <c:pt idx="4">
                  <c:v>8.333333333430346</c:v>
                </c:pt>
                <c:pt idx="5">
                  <c:v>10.8666666666395</c:v>
                </c:pt>
                <c:pt idx="6">
                  <c:v>12.84999999997672</c:v>
                </c:pt>
                <c:pt idx="7">
                  <c:v>13.85000000009313</c:v>
                </c:pt>
              </c:numCache>
            </c:numRef>
          </c:xVal>
          <c:yVal>
            <c:numRef>
              <c:f>'1gperLNaLactate'!$E$6:$E$13</c:f>
              <c:numCache>
                <c:formatCode>General</c:formatCode>
                <c:ptCount val="8"/>
                <c:pt idx="0">
                  <c:v>0.004</c:v>
                </c:pt>
                <c:pt idx="1">
                  <c:v>0.015</c:v>
                </c:pt>
                <c:pt idx="2">
                  <c:v>0.019</c:v>
                </c:pt>
                <c:pt idx="3">
                  <c:v>0.037</c:v>
                </c:pt>
                <c:pt idx="4">
                  <c:v>0.072</c:v>
                </c:pt>
                <c:pt idx="5">
                  <c:v>0.175</c:v>
                </c:pt>
                <c:pt idx="6">
                  <c:v>0.312</c:v>
                </c:pt>
                <c:pt idx="7">
                  <c:v>0.304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184-4316-841D-BC50A823401D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'1gperLNaLactate'!$C$6:$C$13</c:f>
              <c:numCache>
                <c:formatCode>0.00</c:formatCode>
                <c:ptCount val="8"/>
                <c:pt idx="0">
                  <c:v>0.0</c:v>
                </c:pt>
                <c:pt idx="1">
                  <c:v>2.766666666779201</c:v>
                </c:pt>
                <c:pt idx="2">
                  <c:v>4.33333333331393</c:v>
                </c:pt>
                <c:pt idx="3">
                  <c:v>6.183333333407063</c:v>
                </c:pt>
                <c:pt idx="4">
                  <c:v>8.333333333430346</c:v>
                </c:pt>
                <c:pt idx="5">
                  <c:v>10.8666666666395</c:v>
                </c:pt>
                <c:pt idx="6">
                  <c:v>12.84999999997672</c:v>
                </c:pt>
                <c:pt idx="7">
                  <c:v>13.85000000009313</c:v>
                </c:pt>
              </c:numCache>
            </c:numRef>
          </c:xVal>
          <c:yVal>
            <c:numRef>
              <c:f>'1gperLNaLactate'!$F$6:$F$13</c:f>
              <c:numCache>
                <c:formatCode>General</c:formatCode>
                <c:ptCount val="8"/>
                <c:pt idx="0">
                  <c:v>0.009</c:v>
                </c:pt>
                <c:pt idx="1">
                  <c:v>0.02</c:v>
                </c:pt>
                <c:pt idx="2">
                  <c:v>0.06</c:v>
                </c:pt>
                <c:pt idx="3">
                  <c:v>0.067</c:v>
                </c:pt>
                <c:pt idx="4">
                  <c:v>0.135</c:v>
                </c:pt>
                <c:pt idx="5">
                  <c:v>0.291</c:v>
                </c:pt>
                <c:pt idx="6">
                  <c:v>0.308</c:v>
                </c:pt>
                <c:pt idx="7">
                  <c:v>0.31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184-4316-841D-BC50A8234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795200"/>
        <c:axId val="-2114788944"/>
      </c:scatterChart>
      <c:valAx>
        <c:axId val="-211479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788944"/>
        <c:crosses val="autoZero"/>
        <c:crossBetween val="midCat"/>
      </c:valAx>
      <c:valAx>
        <c:axId val="-2114788944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795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00788363954505687"/>
                  <c:y val="-0.27899387576552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'1gperLNaLactate'!$C$8:$C$11</c:f>
              <c:numCache>
                <c:formatCode>0.00</c:formatCode>
                <c:ptCount val="4"/>
                <c:pt idx="0">
                  <c:v>4.33333333331393</c:v>
                </c:pt>
                <c:pt idx="1">
                  <c:v>6.183333333407063</c:v>
                </c:pt>
                <c:pt idx="2">
                  <c:v>8.333333333430346</c:v>
                </c:pt>
                <c:pt idx="3">
                  <c:v>10.8666666666395</c:v>
                </c:pt>
              </c:numCache>
            </c:numRef>
          </c:xVal>
          <c:yVal>
            <c:numRef>
              <c:f>'1gperLNaLactate'!$D$8:$D$11</c:f>
              <c:numCache>
                <c:formatCode>General</c:formatCode>
                <c:ptCount val="4"/>
                <c:pt idx="0">
                  <c:v>0.036</c:v>
                </c:pt>
                <c:pt idx="1">
                  <c:v>0.069</c:v>
                </c:pt>
                <c:pt idx="2">
                  <c:v>0.141</c:v>
                </c:pt>
                <c:pt idx="3">
                  <c:v>0.302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C33-4076-A413-92B7F9D87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758208"/>
        <c:axId val="-2114754752"/>
      </c:scatterChart>
      <c:valAx>
        <c:axId val="-2114758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754752"/>
        <c:crosses val="autoZero"/>
        <c:crossBetween val="midCat"/>
      </c:valAx>
      <c:valAx>
        <c:axId val="-211475475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758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0145447636739777"/>
                  <c:y val="-0.37248594202058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'1gperLNaLactate'!$C$8:$C$11</c:f>
              <c:numCache>
                <c:formatCode>0.00</c:formatCode>
                <c:ptCount val="4"/>
                <c:pt idx="0">
                  <c:v>4.33333333331393</c:v>
                </c:pt>
                <c:pt idx="1">
                  <c:v>6.183333333407063</c:v>
                </c:pt>
                <c:pt idx="2">
                  <c:v>8.333333333430346</c:v>
                </c:pt>
                <c:pt idx="3">
                  <c:v>10.8666666666395</c:v>
                </c:pt>
              </c:numCache>
            </c:numRef>
          </c:xVal>
          <c:yVal>
            <c:numRef>
              <c:f>'1gperLNaLactate'!$E$8:$E$11</c:f>
              <c:numCache>
                <c:formatCode>General</c:formatCode>
                <c:ptCount val="4"/>
                <c:pt idx="0">
                  <c:v>0.019</c:v>
                </c:pt>
                <c:pt idx="1">
                  <c:v>0.037</c:v>
                </c:pt>
                <c:pt idx="2">
                  <c:v>0.072</c:v>
                </c:pt>
                <c:pt idx="3">
                  <c:v>0.175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226-43EA-8931-454EFD9C3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722864"/>
        <c:axId val="-2114719408"/>
      </c:scatterChart>
      <c:valAx>
        <c:axId val="-2114722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719408"/>
        <c:crosses val="autoZero"/>
        <c:crossBetween val="midCat"/>
      </c:valAx>
      <c:valAx>
        <c:axId val="-211471940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722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451214766632432"/>
                  <c:y val="-0.3082601191438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'1gperLNaLactate'!$C$9:$C$11</c:f>
              <c:numCache>
                <c:formatCode>0.00</c:formatCode>
                <c:ptCount val="3"/>
                <c:pt idx="0">
                  <c:v>6.183333333407063</c:v>
                </c:pt>
                <c:pt idx="1">
                  <c:v>8.333333333430346</c:v>
                </c:pt>
                <c:pt idx="2">
                  <c:v>10.8666666666395</c:v>
                </c:pt>
              </c:numCache>
            </c:numRef>
          </c:xVal>
          <c:yVal>
            <c:numRef>
              <c:f>'1gperLNaLactate'!$F$9:$F$11</c:f>
              <c:numCache>
                <c:formatCode>General</c:formatCode>
                <c:ptCount val="3"/>
                <c:pt idx="0">
                  <c:v>0.067</c:v>
                </c:pt>
                <c:pt idx="1">
                  <c:v>0.135</c:v>
                </c:pt>
                <c:pt idx="2">
                  <c:v>0.291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8BB-49FA-8498-B80C3E573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687600"/>
        <c:axId val="-2114684144"/>
      </c:scatterChart>
      <c:valAx>
        <c:axId val="-2114687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684144"/>
        <c:crosses val="autoZero"/>
        <c:crossBetween val="midCat"/>
      </c:valAx>
      <c:valAx>
        <c:axId val="-2114684144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687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0650059651634455"/>
                  <c:y val="-0.673184286876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'20gperLNaLactate'!$C$13:$C$16</c:f>
              <c:numCache>
                <c:formatCode>0.00</c:formatCode>
                <c:ptCount val="4"/>
                <c:pt idx="0">
                  <c:v>12.55000000004657</c:v>
                </c:pt>
                <c:pt idx="1">
                  <c:v>13.76666666666279</c:v>
                </c:pt>
                <c:pt idx="2">
                  <c:v>15.55000000004657</c:v>
                </c:pt>
                <c:pt idx="3">
                  <c:v>18.09999999997672</c:v>
                </c:pt>
              </c:numCache>
            </c:numRef>
          </c:xVal>
          <c:yVal>
            <c:numRef>
              <c:f>'20gperLNaLactate'!$D$13:$D$16</c:f>
              <c:numCache>
                <c:formatCode>General</c:formatCode>
                <c:ptCount val="4"/>
                <c:pt idx="0">
                  <c:v>0.107</c:v>
                </c:pt>
                <c:pt idx="1">
                  <c:v>0.145</c:v>
                </c:pt>
                <c:pt idx="2">
                  <c:v>0.23</c:v>
                </c:pt>
                <c:pt idx="3">
                  <c:v>0.495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556-43F5-B8B8-5C8B9281E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355600"/>
        <c:axId val="-2116352144"/>
      </c:scatterChart>
      <c:valAx>
        <c:axId val="-2116355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352144"/>
        <c:crosses val="autoZero"/>
        <c:crossBetween val="midCat"/>
      </c:valAx>
      <c:valAx>
        <c:axId val="-2116352144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355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0742331798689098"/>
                  <c:y val="-0.6443719795938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'20gperLNaLactate'!$C$13:$C$16</c:f>
              <c:numCache>
                <c:formatCode>0.00</c:formatCode>
                <c:ptCount val="4"/>
                <c:pt idx="0">
                  <c:v>12.55000000004657</c:v>
                </c:pt>
                <c:pt idx="1">
                  <c:v>13.76666666666279</c:v>
                </c:pt>
                <c:pt idx="2">
                  <c:v>15.55000000004657</c:v>
                </c:pt>
                <c:pt idx="3">
                  <c:v>18.09999999997672</c:v>
                </c:pt>
              </c:numCache>
            </c:numRef>
          </c:xVal>
          <c:yVal>
            <c:numRef>
              <c:f>'20gperLNaLactate'!$E$13:$E$16</c:f>
              <c:numCache>
                <c:formatCode>General</c:formatCode>
                <c:ptCount val="4"/>
                <c:pt idx="0">
                  <c:v>0.123</c:v>
                </c:pt>
                <c:pt idx="1">
                  <c:v>0.173</c:v>
                </c:pt>
                <c:pt idx="2">
                  <c:v>0.298</c:v>
                </c:pt>
                <c:pt idx="3">
                  <c:v>0.772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636-4318-92CF-C1A6BB378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320224"/>
        <c:axId val="-2116316768"/>
      </c:scatterChart>
      <c:valAx>
        <c:axId val="-2116320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316768"/>
        <c:crosses val="autoZero"/>
        <c:crossBetween val="midCat"/>
      </c:valAx>
      <c:valAx>
        <c:axId val="-211631676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320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137354388078539"/>
                  <c:y val="-0.46346166912178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'20gperLNaLactate'!$C$13:$C$16</c:f>
              <c:numCache>
                <c:formatCode>0.00</c:formatCode>
                <c:ptCount val="4"/>
                <c:pt idx="0">
                  <c:v>12.55000000004657</c:v>
                </c:pt>
                <c:pt idx="1">
                  <c:v>13.76666666666279</c:v>
                </c:pt>
                <c:pt idx="2">
                  <c:v>15.55000000004657</c:v>
                </c:pt>
                <c:pt idx="3">
                  <c:v>18.09999999997672</c:v>
                </c:pt>
              </c:numCache>
            </c:numRef>
          </c:xVal>
          <c:yVal>
            <c:numRef>
              <c:f>'20gperLNaLactate'!$F$13:$F$16</c:f>
              <c:numCache>
                <c:formatCode>General</c:formatCode>
                <c:ptCount val="4"/>
                <c:pt idx="0">
                  <c:v>0.25</c:v>
                </c:pt>
                <c:pt idx="1">
                  <c:v>0.398</c:v>
                </c:pt>
                <c:pt idx="2">
                  <c:v>0.81</c:v>
                </c:pt>
                <c:pt idx="3">
                  <c:v>1.764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EA6-4284-9F03-9821C2457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283088"/>
        <c:axId val="-2116279632"/>
      </c:scatterChart>
      <c:valAx>
        <c:axId val="-2116283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279632"/>
        <c:crosses val="autoZero"/>
        <c:crossBetween val="midCat"/>
      </c:valAx>
      <c:valAx>
        <c:axId val="-211627963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283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20g/L</a:t>
            </a:r>
            <a:r>
              <a:rPr lang="en-US" baseline="0"/>
              <a:t> NaLactate NO glucose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'20gperLNaLactate (2)'!$C$6:$C$16</c:f>
              <c:numCache>
                <c:formatCode>0.00</c:formatCode>
                <c:ptCount val="11"/>
                <c:pt idx="0">
                  <c:v>0.0</c:v>
                </c:pt>
                <c:pt idx="1">
                  <c:v>1.883333333360497</c:v>
                </c:pt>
                <c:pt idx="2">
                  <c:v>5.316666666709352</c:v>
                </c:pt>
                <c:pt idx="3">
                  <c:v>7.383333333476912</c:v>
                </c:pt>
                <c:pt idx="4">
                  <c:v>9.183333333407063</c:v>
                </c:pt>
                <c:pt idx="5">
                  <c:v>11.31666666670935</c:v>
                </c:pt>
                <c:pt idx="6">
                  <c:v>12.75</c:v>
                </c:pt>
                <c:pt idx="7">
                  <c:v>15.65000000002328</c:v>
                </c:pt>
                <c:pt idx="8">
                  <c:v>19.86666666681413</c:v>
                </c:pt>
                <c:pt idx="9">
                  <c:v>22.05000000010477</c:v>
                </c:pt>
                <c:pt idx="10">
                  <c:v>23.3833333334187</c:v>
                </c:pt>
              </c:numCache>
            </c:numRef>
          </c:xVal>
          <c:yVal>
            <c:numRef>
              <c:f>'20gperLNaLactate (2)'!$D$6:$D$16</c:f>
              <c:numCache>
                <c:formatCode>General</c:formatCode>
                <c:ptCount val="11"/>
                <c:pt idx="0">
                  <c:v>0.007</c:v>
                </c:pt>
                <c:pt idx="1">
                  <c:v>0.016</c:v>
                </c:pt>
                <c:pt idx="2">
                  <c:v>0.03</c:v>
                </c:pt>
                <c:pt idx="3">
                  <c:v>0.05</c:v>
                </c:pt>
                <c:pt idx="4">
                  <c:v>0.078</c:v>
                </c:pt>
                <c:pt idx="5">
                  <c:v>0.138</c:v>
                </c:pt>
                <c:pt idx="6">
                  <c:v>0.2</c:v>
                </c:pt>
                <c:pt idx="7">
                  <c:v>0.502</c:v>
                </c:pt>
                <c:pt idx="8">
                  <c:v>2.25</c:v>
                </c:pt>
                <c:pt idx="9">
                  <c:v>3.396</c:v>
                </c:pt>
                <c:pt idx="10">
                  <c:v>3.64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C6C-4289-B9B5-0603941C775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'20gperLNaLactate (2)'!$C$6:$C$16</c:f>
              <c:numCache>
                <c:formatCode>0.00</c:formatCode>
                <c:ptCount val="11"/>
                <c:pt idx="0">
                  <c:v>0.0</c:v>
                </c:pt>
                <c:pt idx="1">
                  <c:v>1.883333333360497</c:v>
                </c:pt>
                <c:pt idx="2">
                  <c:v>5.316666666709352</c:v>
                </c:pt>
                <c:pt idx="3">
                  <c:v>7.383333333476912</c:v>
                </c:pt>
                <c:pt idx="4">
                  <c:v>9.183333333407063</c:v>
                </c:pt>
                <c:pt idx="5">
                  <c:v>11.31666666670935</c:v>
                </c:pt>
                <c:pt idx="6">
                  <c:v>12.75</c:v>
                </c:pt>
                <c:pt idx="7">
                  <c:v>15.65000000002328</c:v>
                </c:pt>
                <c:pt idx="8">
                  <c:v>19.86666666681413</c:v>
                </c:pt>
                <c:pt idx="9">
                  <c:v>22.05000000010477</c:v>
                </c:pt>
                <c:pt idx="10">
                  <c:v>23.3833333334187</c:v>
                </c:pt>
              </c:numCache>
            </c:numRef>
          </c:xVal>
          <c:yVal>
            <c:numRef>
              <c:f>'20gperLNaLactate (2)'!$E$6:$E$16</c:f>
              <c:numCache>
                <c:formatCode>General</c:formatCode>
                <c:ptCount val="11"/>
                <c:pt idx="0">
                  <c:v>0.007</c:v>
                </c:pt>
                <c:pt idx="1">
                  <c:v>0.014</c:v>
                </c:pt>
                <c:pt idx="2">
                  <c:v>0.025</c:v>
                </c:pt>
                <c:pt idx="3">
                  <c:v>0.042</c:v>
                </c:pt>
                <c:pt idx="4">
                  <c:v>0.066</c:v>
                </c:pt>
                <c:pt idx="5">
                  <c:v>0.113</c:v>
                </c:pt>
                <c:pt idx="6">
                  <c:v>0.159</c:v>
                </c:pt>
                <c:pt idx="7">
                  <c:v>0.36</c:v>
                </c:pt>
                <c:pt idx="8">
                  <c:v>1.736</c:v>
                </c:pt>
                <c:pt idx="9">
                  <c:v>2.904</c:v>
                </c:pt>
                <c:pt idx="10">
                  <c:v>3.484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6C-4289-B9B5-0603941C7752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'20gperLNaLactate (2)'!$C$6:$C$16</c:f>
              <c:numCache>
                <c:formatCode>0.00</c:formatCode>
                <c:ptCount val="11"/>
                <c:pt idx="0">
                  <c:v>0.0</c:v>
                </c:pt>
                <c:pt idx="1">
                  <c:v>1.883333333360497</c:v>
                </c:pt>
                <c:pt idx="2">
                  <c:v>5.316666666709352</c:v>
                </c:pt>
                <c:pt idx="3">
                  <c:v>7.383333333476912</c:v>
                </c:pt>
                <c:pt idx="4">
                  <c:v>9.183333333407063</c:v>
                </c:pt>
                <c:pt idx="5">
                  <c:v>11.31666666670935</c:v>
                </c:pt>
                <c:pt idx="6">
                  <c:v>12.75</c:v>
                </c:pt>
                <c:pt idx="7">
                  <c:v>15.65000000002328</c:v>
                </c:pt>
                <c:pt idx="8">
                  <c:v>19.86666666681413</c:v>
                </c:pt>
                <c:pt idx="9">
                  <c:v>22.05000000010477</c:v>
                </c:pt>
                <c:pt idx="10">
                  <c:v>23.3833333334187</c:v>
                </c:pt>
              </c:numCache>
            </c:numRef>
          </c:xVal>
          <c:yVal>
            <c:numRef>
              <c:f>'20gperLNaLactate (2)'!$F$6:$F$16</c:f>
              <c:numCache>
                <c:formatCode>General</c:formatCode>
                <c:ptCount val="11"/>
                <c:pt idx="0">
                  <c:v>0.007</c:v>
                </c:pt>
                <c:pt idx="1">
                  <c:v>0.014</c:v>
                </c:pt>
                <c:pt idx="2">
                  <c:v>0.026</c:v>
                </c:pt>
                <c:pt idx="3">
                  <c:v>0.045</c:v>
                </c:pt>
                <c:pt idx="4">
                  <c:v>0.069</c:v>
                </c:pt>
                <c:pt idx="5">
                  <c:v>0.118</c:v>
                </c:pt>
                <c:pt idx="6">
                  <c:v>0.165</c:v>
                </c:pt>
                <c:pt idx="7">
                  <c:v>0.368</c:v>
                </c:pt>
                <c:pt idx="8">
                  <c:v>1.608</c:v>
                </c:pt>
                <c:pt idx="9">
                  <c:v>3.396</c:v>
                </c:pt>
                <c:pt idx="10">
                  <c:v>3.744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6C-4289-B9B5-0603941C7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219424"/>
        <c:axId val="-2116213040"/>
      </c:scatterChart>
      <c:valAx>
        <c:axId val="-2116219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213040"/>
        <c:crosses val="autoZero"/>
        <c:crossBetween val="midCat"/>
      </c:valAx>
      <c:valAx>
        <c:axId val="-211621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219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 g/L NaLactate NO glucose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'20gperLNaLactate (2)'!$C$6:$C$15</c:f>
              <c:numCache>
                <c:formatCode>0.00</c:formatCode>
                <c:ptCount val="10"/>
                <c:pt idx="0">
                  <c:v>0.0</c:v>
                </c:pt>
                <c:pt idx="1">
                  <c:v>1.883333333360497</c:v>
                </c:pt>
                <c:pt idx="2">
                  <c:v>5.316666666709352</c:v>
                </c:pt>
                <c:pt idx="3">
                  <c:v>7.383333333476912</c:v>
                </c:pt>
                <c:pt idx="4">
                  <c:v>9.183333333407063</c:v>
                </c:pt>
                <c:pt idx="5">
                  <c:v>11.31666666670935</c:v>
                </c:pt>
                <c:pt idx="6">
                  <c:v>12.75</c:v>
                </c:pt>
                <c:pt idx="7">
                  <c:v>15.65000000002328</c:v>
                </c:pt>
                <c:pt idx="8">
                  <c:v>19.86666666681413</c:v>
                </c:pt>
                <c:pt idx="9">
                  <c:v>22.05000000010477</c:v>
                </c:pt>
              </c:numCache>
            </c:numRef>
          </c:xVal>
          <c:yVal>
            <c:numRef>
              <c:f>'20gperLNaLactate (2)'!$D$6:$D$15</c:f>
              <c:numCache>
                <c:formatCode>General</c:formatCode>
                <c:ptCount val="10"/>
                <c:pt idx="0">
                  <c:v>0.007</c:v>
                </c:pt>
                <c:pt idx="1">
                  <c:v>0.016</c:v>
                </c:pt>
                <c:pt idx="2">
                  <c:v>0.03</c:v>
                </c:pt>
                <c:pt idx="3">
                  <c:v>0.05</c:v>
                </c:pt>
                <c:pt idx="4">
                  <c:v>0.078</c:v>
                </c:pt>
                <c:pt idx="5">
                  <c:v>0.138</c:v>
                </c:pt>
                <c:pt idx="6">
                  <c:v>0.2</c:v>
                </c:pt>
                <c:pt idx="7">
                  <c:v>0.502</c:v>
                </c:pt>
                <c:pt idx="8">
                  <c:v>2.25</c:v>
                </c:pt>
                <c:pt idx="9">
                  <c:v>3.396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BDC-4D49-8286-30E1B1BDC6E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'20gperLNaLactate (2)'!$C$6:$C$15</c:f>
              <c:numCache>
                <c:formatCode>0.00</c:formatCode>
                <c:ptCount val="10"/>
                <c:pt idx="0">
                  <c:v>0.0</c:v>
                </c:pt>
                <c:pt idx="1">
                  <c:v>1.883333333360497</c:v>
                </c:pt>
                <c:pt idx="2">
                  <c:v>5.316666666709352</c:v>
                </c:pt>
                <c:pt idx="3">
                  <c:v>7.383333333476912</c:v>
                </c:pt>
                <c:pt idx="4">
                  <c:v>9.183333333407063</c:v>
                </c:pt>
                <c:pt idx="5">
                  <c:v>11.31666666670935</c:v>
                </c:pt>
                <c:pt idx="6">
                  <c:v>12.75</c:v>
                </c:pt>
                <c:pt idx="7">
                  <c:v>15.65000000002328</c:v>
                </c:pt>
                <c:pt idx="8">
                  <c:v>19.86666666681413</c:v>
                </c:pt>
                <c:pt idx="9">
                  <c:v>22.05000000010477</c:v>
                </c:pt>
              </c:numCache>
            </c:numRef>
          </c:xVal>
          <c:yVal>
            <c:numRef>
              <c:f>'20gperLNaLactate (2)'!$E$6:$E$15</c:f>
              <c:numCache>
                <c:formatCode>General</c:formatCode>
                <c:ptCount val="10"/>
                <c:pt idx="0">
                  <c:v>0.007</c:v>
                </c:pt>
                <c:pt idx="1">
                  <c:v>0.014</c:v>
                </c:pt>
                <c:pt idx="2">
                  <c:v>0.025</c:v>
                </c:pt>
                <c:pt idx="3">
                  <c:v>0.042</c:v>
                </c:pt>
                <c:pt idx="4">
                  <c:v>0.066</c:v>
                </c:pt>
                <c:pt idx="5">
                  <c:v>0.113</c:v>
                </c:pt>
                <c:pt idx="6">
                  <c:v>0.159</c:v>
                </c:pt>
                <c:pt idx="7">
                  <c:v>0.36</c:v>
                </c:pt>
                <c:pt idx="8">
                  <c:v>1.736</c:v>
                </c:pt>
                <c:pt idx="9">
                  <c:v>2.904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BDC-4D49-8286-30E1B1BDC6E7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'20gperLNaLactate (2)'!$C$6:$C$15</c:f>
              <c:numCache>
                <c:formatCode>0.00</c:formatCode>
                <c:ptCount val="10"/>
                <c:pt idx="0">
                  <c:v>0.0</c:v>
                </c:pt>
                <c:pt idx="1">
                  <c:v>1.883333333360497</c:v>
                </c:pt>
                <c:pt idx="2">
                  <c:v>5.316666666709352</c:v>
                </c:pt>
                <c:pt idx="3">
                  <c:v>7.383333333476912</c:v>
                </c:pt>
                <c:pt idx="4">
                  <c:v>9.183333333407063</c:v>
                </c:pt>
                <c:pt idx="5">
                  <c:v>11.31666666670935</c:v>
                </c:pt>
                <c:pt idx="6">
                  <c:v>12.75</c:v>
                </c:pt>
                <c:pt idx="7">
                  <c:v>15.65000000002328</c:v>
                </c:pt>
                <c:pt idx="8">
                  <c:v>19.86666666681413</c:v>
                </c:pt>
                <c:pt idx="9">
                  <c:v>22.05000000010477</c:v>
                </c:pt>
              </c:numCache>
            </c:numRef>
          </c:xVal>
          <c:yVal>
            <c:numRef>
              <c:f>'20gperLNaLactate (2)'!$F$6:$F$15</c:f>
              <c:numCache>
                <c:formatCode>General</c:formatCode>
                <c:ptCount val="10"/>
                <c:pt idx="0">
                  <c:v>0.007</c:v>
                </c:pt>
                <c:pt idx="1">
                  <c:v>0.014</c:v>
                </c:pt>
                <c:pt idx="2">
                  <c:v>0.026</c:v>
                </c:pt>
                <c:pt idx="3">
                  <c:v>0.045</c:v>
                </c:pt>
                <c:pt idx="4">
                  <c:v>0.069</c:v>
                </c:pt>
                <c:pt idx="5">
                  <c:v>0.118</c:v>
                </c:pt>
                <c:pt idx="6">
                  <c:v>0.165</c:v>
                </c:pt>
                <c:pt idx="7">
                  <c:v>0.368</c:v>
                </c:pt>
                <c:pt idx="8">
                  <c:v>1.608</c:v>
                </c:pt>
                <c:pt idx="9">
                  <c:v>3.396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BDC-4D49-8286-30E1B1BDC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173952"/>
        <c:axId val="-2116167600"/>
      </c:scatterChart>
      <c:valAx>
        <c:axId val="-2116173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167600"/>
        <c:crosses val="autoZero"/>
        <c:crossBetween val="midCat"/>
      </c:valAx>
      <c:valAx>
        <c:axId val="-2116167600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173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0.0650059651634455"/>
                  <c:y val="-0.6731842868769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'20gperLNaLactate (2)'!$C$11:$C$14</c:f>
              <c:numCache>
                <c:formatCode>0.00</c:formatCode>
                <c:ptCount val="4"/>
                <c:pt idx="0">
                  <c:v>11.31666666670935</c:v>
                </c:pt>
                <c:pt idx="1">
                  <c:v>12.75</c:v>
                </c:pt>
                <c:pt idx="2">
                  <c:v>15.65000000002328</c:v>
                </c:pt>
                <c:pt idx="3">
                  <c:v>19.86666666681413</c:v>
                </c:pt>
              </c:numCache>
            </c:numRef>
          </c:xVal>
          <c:yVal>
            <c:numRef>
              <c:f>'20gperLNaLactate (2)'!$D$11:$D$14</c:f>
              <c:numCache>
                <c:formatCode>General</c:formatCode>
                <c:ptCount val="4"/>
                <c:pt idx="0">
                  <c:v>0.138</c:v>
                </c:pt>
                <c:pt idx="1">
                  <c:v>0.2</c:v>
                </c:pt>
                <c:pt idx="2">
                  <c:v>0.502</c:v>
                </c:pt>
                <c:pt idx="3">
                  <c:v>2.25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94-47E9-92FA-75450C11C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137568"/>
        <c:axId val="-2116134112"/>
      </c:scatterChart>
      <c:valAx>
        <c:axId val="-2116137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134112"/>
        <c:crosses val="autoZero"/>
        <c:crossBetween val="midCat"/>
      </c:valAx>
      <c:valAx>
        <c:axId val="-211613411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137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4" Type="http://schemas.openxmlformats.org/officeDocument/2006/relationships/chart" Target="../charts/chart5.xml"/><Relationship Id="rId5" Type="http://schemas.openxmlformats.org/officeDocument/2006/relationships/chart" Target="../charts/chart6.xml"/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4" Type="http://schemas.openxmlformats.org/officeDocument/2006/relationships/chart" Target="../charts/chart10.xml"/><Relationship Id="rId5" Type="http://schemas.openxmlformats.org/officeDocument/2006/relationships/chart" Target="../charts/chart11.xml"/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4" Type="http://schemas.openxmlformats.org/officeDocument/2006/relationships/chart" Target="../charts/chart15.xml"/><Relationship Id="rId5" Type="http://schemas.openxmlformats.org/officeDocument/2006/relationships/chart" Target="../charts/chart16.xml"/><Relationship Id="rId1" Type="http://schemas.openxmlformats.org/officeDocument/2006/relationships/chart" Target="../charts/chart12.xml"/><Relationship Id="rId2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4" Type="http://schemas.openxmlformats.org/officeDocument/2006/relationships/chart" Target="../charts/chart20.xml"/><Relationship Id="rId5" Type="http://schemas.openxmlformats.org/officeDocument/2006/relationships/chart" Target="../charts/chart21.xml"/><Relationship Id="rId1" Type="http://schemas.openxmlformats.org/officeDocument/2006/relationships/chart" Target="../charts/chart17.xml"/><Relationship Id="rId2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4" Type="http://schemas.openxmlformats.org/officeDocument/2006/relationships/chart" Target="../charts/chart25.xml"/><Relationship Id="rId5" Type="http://schemas.openxmlformats.org/officeDocument/2006/relationships/chart" Target="../charts/chart26.xml"/><Relationship Id="rId1" Type="http://schemas.openxmlformats.org/officeDocument/2006/relationships/chart" Target="../charts/chart22.xml"/><Relationship Id="rId2" Type="http://schemas.openxmlformats.org/officeDocument/2006/relationships/chart" Target="../charts/chart2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4" Type="http://schemas.openxmlformats.org/officeDocument/2006/relationships/chart" Target="../charts/chart30.xml"/><Relationship Id="rId5" Type="http://schemas.openxmlformats.org/officeDocument/2006/relationships/chart" Target="../charts/chart31.xml"/><Relationship Id="rId1" Type="http://schemas.openxmlformats.org/officeDocument/2006/relationships/chart" Target="../charts/chart27.xml"/><Relationship Id="rId2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4" Type="http://schemas.openxmlformats.org/officeDocument/2006/relationships/chart" Target="../charts/chart35.xml"/><Relationship Id="rId5" Type="http://schemas.openxmlformats.org/officeDocument/2006/relationships/chart" Target="../charts/chart36.xml"/><Relationship Id="rId1" Type="http://schemas.openxmlformats.org/officeDocument/2006/relationships/chart" Target="../charts/chart32.xml"/><Relationship Id="rId2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1</xdr:row>
      <xdr:rowOff>39687</xdr:rowOff>
    </xdr:from>
    <xdr:to>
      <xdr:col>10</xdr:col>
      <xdr:colOff>600837</xdr:colOff>
      <xdr:row>18</xdr:row>
      <xdr:rowOff>29019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414338</xdr:colOff>
      <xdr:row>1</xdr:row>
      <xdr:rowOff>4762</xdr:rowOff>
    </xdr:from>
    <xdr:to>
      <xdr:col>12</xdr:col>
      <xdr:colOff>428626</xdr:colOff>
      <xdr:row>14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476250</xdr:colOff>
      <xdr:row>1</xdr:row>
      <xdr:rowOff>57150</xdr:rowOff>
    </xdr:from>
    <xdr:to>
      <xdr:col>18</xdr:col>
      <xdr:colOff>304800</xdr:colOff>
      <xdr:row>15</xdr:row>
      <xdr:rowOff>61912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219075</xdr:colOff>
      <xdr:row>22</xdr:row>
      <xdr:rowOff>76200</xdr:rowOff>
    </xdr:from>
    <xdr:to>
      <xdr:col>5</xdr:col>
      <xdr:colOff>390525</xdr:colOff>
      <xdr:row>36</xdr:row>
      <xdr:rowOff>176212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581025</xdr:colOff>
      <xdr:row>22</xdr:row>
      <xdr:rowOff>142875</xdr:rowOff>
    </xdr:from>
    <xdr:to>
      <xdr:col>11</xdr:col>
      <xdr:colOff>409575</xdr:colOff>
      <xdr:row>37</xdr:row>
      <xdr:rowOff>52387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47625</xdr:colOff>
      <xdr:row>22</xdr:row>
      <xdr:rowOff>76200</xdr:rowOff>
    </xdr:from>
    <xdr:to>
      <xdr:col>17</xdr:col>
      <xdr:colOff>485775</xdr:colOff>
      <xdr:row>36</xdr:row>
      <xdr:rowOff>176212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414338</xdr:colOff>
      <xdr:row>1</xdr:row>
      <xdr:rowOff>4762</xdr:rowOff>
    </xdr:from>
    <xdr:to>
      <xdr:col>12</xdr:col>
      <xdr:colOff>428626</xdr:colOff>
      <xdr:row>14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476250</xdr:colOff>
      <xdr:row>1</xdr:row>
      <xdr:rowOff>57150</xdr:rowOff>
    </xdr:from>
    <xdr:to>
      <xdr:col>18</xdr:col>
      <xdr:colOff>304800</xdr:colOff>
      <xdr:row>15</xdr:row>
      <xdr:rowOff>61912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247650</xdr:colOff>
      <xdr:row>22</xdr:row>
      <xdr:rowOff>28575</xdr:rowOff>
    </xdr:from>
    <xdr:to>
      <xdr:col>5</xdr:col>
      <xdr:colOff>419100</xdr:colOff>
      <xdr:row>36</xdr:row>
      <xdr:rowOff>128587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9525</xdr:colOff>
      <xdr:row>22</xdr:row>
      <xdr:rowOff>142875</xdr:rowOff>
    </xdr:from>
    <xdr:to>
      <xdr:col>11</xdr:col>
      <xdr:colOff>447675</xdr:colOff>
      <xdr:row>37</xdr:row>
      <xdr:rowOff>52387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47625</xdr:colOff>
      <xdr:row>22</xdr:row>
      <xdr:rowOff>76200</xdr:rowOff>
    </xdr:from>
    <xdr:to>
      <xdr:col>17</xdr:col>
      <xdr:colOff>485775</xdr:colOff>
      <xdr:row>36</xdr:row>
      <xdr:rowOff>176212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414338</xdr:colOff>
      <xdr:row>1</xdr:row>
      <xdr:rowOff>4762</xdr:rowOff>
    </xdr:from>
    <xdr:to>
      <xdr:col>12</xdr:col>
      <xdr:colOff>428626</xdr:colOff>
      <xdr:row>14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447675</xdr:colOff>
      <xdr:row>0</xdr:row>
      <xdr:rowOff>0</xdr:rowOff>
    </xdr:from>
    <xdr:to>
      <xdr:col>18</xdr:col>
      <xdr:colOff>276225</xdr:colOff>
      <xdr:row>14</xdr:row>
      <xdr:rowOff>14287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20</xdr:row>
      <xdr:rowOff>95250</xdr:rowOff>
    </xdr:from>
    <xdr:to>
      <xdr:col>5</xdr:col>
      <xdr:colOff>361950</xdr:colOff>
      <xdr:row>35</xdr:row>
      <xdr:rowOff>4762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571500</xdr:colOff>
      <xdr:row>20</xdr:row>
      <xdr:rowOff>133350</xdr:rowOff>
    </xdr:from>
    <xdr:to>
      <xdr:col>11</xdr:col>
      <xdr:colOff>400050</xdr:colOff>
      <xdr:row>35</xdr:row>
      <xdr:rowOff>42862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28575</xdr:colOff>
      <xdr:row>20</xdr:row>
      <xdr:rowOff>95250</xdr:rowOff>
    </xdr:from>
    <xdr:to>
      <xdr:col>17</xdr:col>
      <xdr:colOff>466725</xdr:colOff>
      <xdr:row>35</xdr:row>
      <xdr:rowOff>4762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414338</xdr:colOff>
      <xdr:row>1</xdr:row>
      <xdr:rowOff>4762</xdr:rowOff>
    </xdr:from>
    <xdr:to>
      <xdr:col>12</xdr:col>
      <xdr:colOff>428626</xdr:colOff>
      <xdr:row>14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447675</xdr:colOff>
      <xdr:row>0</xdr:row>
      <xdr:rowOff>0</xdr:rowOff>
    </xdr:from>
    <xdr:to>
      <xdr:col>18</xdr:col>
      <xdr:colOff>276225</xdr:colOff>
      <xdr:row>14</xdr:row>
      <xdr:rowOff>14287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20</xdr:row>
      <xdr:rowOff>95250</xdr:rowOff>
    </xdr:from>
    <xdr:to>
      <xdr:col>5</xdr:col>
      <xdr:colOff>361950</xdr:colOff>
      <xdr:row>35</xdr:row>
      <xdr:rowOff>4762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542925</xdr:colOff>
      <xdr:row>20</xdr:row>
      <xdr:rowOff>133350</xdr:rowOff>
    </xdr:from>
    <xdr:to>
      <xdr:col>11</xdr:col>
      <xdr:colOff>371475</xdr:colOff>
      <xdr:row>35</xdr:row>
      <xdr:rowOff>42862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47625</xdr:colOff>
      <xdr:row>20</xdr:row>
      <xdr:rowOff>123825</xdr:rowOff>
    </xdr:from>
    <xdr:to>
      <xdr:col>17</xdr:col>
      <xdr:colOff>485775</xdr:colOff>
      <xdr:row>35</xdr:row>
      <xdr:rowOff>33337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414338</xdr:colOff>
      <xdr:row>1</xdr:row>
      <xdr:rowOff>4762</xdr:rowOff>
    </xdr:from>
    <xdr:to>
      <xdr:col>12</xdr:col>
      <xdr:colOff>428626</xdr:colOff>
      <xdr:row>14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447675</xdr:colOff>
      <xdr:row>0</xdr:row>
      <xdr:rowOff>0</xdr:rowOff>
    </xdr:from>
    <xdr:to>
      <xdr:col>18</xdr:col>
      <xdr:colOff>276225</xdr:colOff>
      <xdr:row>14</xdr:row>
      <xdr:rowOff>14287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20</xdr:row>
      <xdr:rowOff>133350</xdr:rowOff>
    </xdr:from>
    <xdr:to>
      <xdr:col>5</xdr:col>
      <xdr:colOff>361950</xdr:colOff>
      <xdr:row>35</xdr:row>
      <xdr:rowOff>42862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542925</xdr:colOff>
      <xdr:row>20</xdr:row>
      <xdr:rowOff>133350</xdr:rowOff>
    </xdr:from>
    <xdr:to>
      <xdr:col>11</xdr:col>
      <xdr:colOff>371475</xdr:colOff>
      <xdr:row>35</xdr:row>
      <xdr:rowOff>42862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95250</xdr:colOff>
      <xdr:row>20</xdr:row>
      <xdr:rowOff>104775</xdr:rowOff>
    </xdr:from>
    <xdr:to>
      <xdr:col>17</xdr:col>
      <xdr:colOff>533400</xdr:colOff>
      <xdr:row>35</xdr:row>
      <xdr:rowOff>14287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20</xdr:row>
      <xdr:rowOff>4762</xdr:rowOff>
    </xdr:from>
    <xdr:to>
      <xdr:col>9</xdr:col>
      <xdr:colOff>590550</xdr:colOff>
      <xdr:row>33</xdr:row>
      <xdr:rowOff>104776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95250</xdr:colOff>
      <xdr:row>19</xdr:row>
      <xdr:rowOff>138112</xdr:rowOff>
    </xdr:from>
    <xdr:to>
      <xdr:col>14</xdr:col>
      <xdr:colOff>447675</xdr:colOff>
      <xdr:row>33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209550</xdr:colOff>
      <xdr:row>0</xdr:row>
      <xdr:rowOff>119062</xdr:rowOff>
    </xdr:from>
    <xdr:to>
      <xdr:col>14</xdr:col>
      <xdr:colOff>495300</xdr:colOff>
      <xdr:row>16</xdr:row>
      <xdr:rowOff>100012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38099</xdr:colOff>
      <xdr:row>20</xdr:row>
      <xdr:rowOff>4762</xdr:rowOff>
    </xdr:from>
    <xdr:to>
      <xdr:col>5</xdr:col>
      <xdr:colOff>133350</xdr:colOff>
      <xdr:row>33</xdr:row>
      <xdr:rowOff>57150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76200</xdr:colOff>
      <xdr:row>0</xdr:row>
      <xdr:rowOff>157162</xdr:rowOff>
    </xdr:from>
    <xdr:to>
      <xdr:col>21</xdr:col>
      <xdr:colOff>142875</xdr:colOff>
      <xdr:row>16</xdr:row>
      <xdr:rowOff>138112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119062</xdr:colOff>
      <xdr:row>0</xdr:row>
      <xdr:rowOff>42862</xdr:rowOff>
    </xdr:from>
    <xdr:to>
      <xdr:col>15</xdr:col>
      <xdr:colOff>423862</xdr:colOff>
      <xdr:row>14</xdr:row>
      <xdr:rowOff>23812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504825</xdr:colOff>
      <xdr:row>0</xdr:row>
      <xdr:rowOff>71437</xdr:rowOff>
    </xdr:from>
    <xdr:to>
      <xdr:col>23</xdr:col>
      <xdr:colOff>200025</xdr:colOff>
      <xdr:row>14</xdr:row>
      <xdr:rowOff>52387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19</xdr:row>
      <xdr:rowOff>180974</xdr:rowOff>
    </xdr:from>
    <xdr:to>
      <xdr:col>5</xdr:col>
      <xdr:colOff>476250</xdr:colOff>
      <xdr:row>34</xdr:row>
      <xdr:rowOff>23811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114299</xdr:colOff>
      <xdr:row>19</xdr:row>
      <xdr:rowOff>152400</xdr:rowOff>
    </xdr:from>
    <xdr:to>
      <xdr:col>12</xdr:col>
      <xdr:colOff>9524</xdr:colOff>
      <xdr:row>34</xdr:row>
      <xdr:rowOff>71437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200025</xdr:colOff>
      <xdr:row>19</xdr:row>
      <xdr:rowOff>95249</xdr:rowOff>
    </xdr:from>
    <xdr:to>
      <xdr:col>18</xdr:col>
      <xdr:colOff>47625</xdr:colOff>
      <xdr:row>34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0"/>
  <sheetViews>
    <sheetView tabSelected="1" workbookViewId="0">
      <selection activeCell="H20" sqref="H20"/>
    </sheetView>
  </sheetViews>
  <sheetFormatPr baseColWidth="10" defaultColWidth="8.83203125" defaultRowHeight="15" x14ac:dyDescent="0.2"/>
  <cols>
    <col min="3" max="3" width="9.1640625" customWidth="1"/>
  </cols>
  <sheetData>
    <row r="4" spans="2:4" x14ac:dyDescent="0.2">
      <c r="B4" t="s">
        <v>18</v>
      </c>
      <c r="C4" t="s">
        <v>19</v>
      </c>
    </row>
    <row r="5" spans="2:4" x14ac:dyDescent="0.2">
      <c r="B5">
        <v>1</v>
      </c>
      <c r="C5">
        <v>0.32518000000000002</v>
      </c>
      <c r="D5">
        <v>1.1780000000000001E-2</v>
      </c>
    </row>
    <row r="6" spans="2:4" x14ac:dyDescent="0.2">
      <c r="B6">
        <v>3</v>
      </c>
      <c r="C6">
        <v>0.36978</v>
      </c>
      <c r="D6">
        <v>4.0600000000000002E-3</v>
      </c>
    </row>
    <row r="7" spans="2:4" x14ac:dyDescent="0.2">
      <c r="B7">
        <v>5</v>
      </c>
      <c r="C7">
        <v>0.38384000000000001</v>
      </c>
      <c r="D7">
        <v>7.4599999999999996E-3</v>
      </c>
    </row>
    <row r="8" spans="2:4" x14ac:dyDescent="0.2">
      <c r="B8">
        <v>8</v>
      </c>
      <c r="C8">
        <v>0.38880999999999999</v>
      </c>
      <c r="D8">
        <v>3.6800000000000001E-3</v>
      </c>
    </row>
    <row r="9" spans="2:4" x14ac:dyDescent="0.2">
      <c r="B9">
        <v>10</v>
      </c>
      <c r="C9">
        <v>0.39040000000000002</v>
      </c>
      <c r="D9">
        <v>2.8E-3</v>
      </c>
    </row>
    <row r="10" spans="2:4" x14ac:dyDescent="0.2">
      <c r="B10">
        <v>20</v>
      </c>
      <c r="C10">
        <v>0.32696999999999998</v>
      </c>
      <c r="D10">
        <v>3.47E-3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workbookViewId="0">
      <selection activeCell="H19" sqref="H19"/>
    </sheetView>
  </sheetViews>
  <sheetFormatPr baseColWidth="10" defaultColWidth="8.83203125" defaultRowHeight="15" x14ac:dyDescent="0.2"/>
  <cols>
    <col min="2" max="2" width="14.33203125" bestFit="1" customWidth="1"/>
  </cols>
  <sheetData>
    <row r="3" spans="1:7" x14ac:dyDescent="0.2">
      <c r="A3" s="1" t="s">
        <v>22</v>
      </c>
    </row>
    <row r="4" spans="1:7" x14ac:dyDescent="0.2">
      <c r="A4" t="s">
        <v>23</v>
      </c>
    </row>
    <row r="5" spans="1:7" ht="16" x14ac:dyDescent="0.2">
      <c r="B5" s="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16" x14ac:dyDescent="0.2">
      <c r="B6" s="4">
        <v>42796.374305555553</v>
      </c>
      <c r="C6" s="5">
        <f>(B6-$B$6)*24</f>
        <v>0</v>
      </c>
      <c r="D6" s="6">
        <v>5.0000000000000001E-3</v>
      </c>
      <c r="E6" s="6">
        <v>5.0000000000000001E-3</v>
      </c>
      <c r="F6" s="6">
        <v>7.0000000000000001E-3</v>
      </c>
      <c r="G6" s="7">
        <v>0</v>
      </c>
    </row>
    <row r="7" spans="1:7" ht="16" x14ac:dyDescent="0.2">
      <c r="B7" s="4">
        <v>42796.470138888886</v>
      </c>
      <c r="C7" s="5">
        <f t="shared" ref="C7:C16" si="0">(B7-$B$6)*24</f>
        <v>2.2999999999883585</v>
      </c>
      <c r="D7" s="6">
        <v>8.9999999999999993E-3</v>
      </c>
      <c r="E7" s="6">
        <v>8.9999999999999993E-3</v>
      </c>
      <c r="F7" s="6">
        <v>1.4E-2</v>
      </c>
      <c r="G7" s="7">
        <v>-1E-3</v>
      </c>
    </row>
    <row r="8" spans="1:7" ht="16" x14ac:dyDescent="0.2">
      <c r="B8" s="4">
        <v>42796.549305555556</v>
      </c>
      <c r="C8" s="5">
        <f t="shared" si="0"/>
        <v>4.2000000000698492</v>
      </c>
      <c r="D8" s="6">
        <v>1.4999999999999999E-2</v>
      </c>
      <c r="E8" s="6">
        <v>1.4E-2</v>
      </c>
      <c r="F8" s="6">
        <v>2.3E-2</v>
      </c>
      <c r="G8" s="7">
        <v>-1E-3</v>
      </c>
    </row>
    <row r="9" spans="1:7" ht="16" x14ac:dyDescent="0.2">
      <c r="B9" s="4">
        <v>42796.629166666666</v>
      </c>
      <c r="C9" s="5">
        <f t="shared" si="0"/>
        <v>6.1166666666977108</v>
      </c>
      <c r="D9" s="6">
        <v>2.3E-2</v>
      </c>
      <c r="E9" s="6">
        <v>2.3E-2</v>
      </c>
      <c r="F9" s="6">
        <v>3.9E-2</v>
      </c>
      <c r="G9" s="7">
        <v>-1E-3</v>
      </c>
    </row>
    <row r="10" spans="1:7" ht="16" x14ac:dyDescent="0.2">
      <c r="B10" s="4">
        <v>42796.689583333333</v>
      </c>
      <c r="C10" s="5">
        <f t="shared" si="0"/>
        <v>7.5666666667093523</v>
      </c>
      <c r="D10" s="6">
        <v>3.3000000000000002E-2</v>
      </c>
      <c r="E10" s="6">
        <v>3.4000000000000002E-2</v>
      </c>
      <c r="F10" s="6">
        <v>5.8999999999999997E-2</v>
      </c>
      <c r="G10" s="7">
        <v>-1E-3</v>
      </c>
    </row>
    <row r="11" spans="1:7" ht="16" x14ac:dyDescent="0.2">
      <c r="B11" s="4">
        <v>42796.779166666667</v>
      </c>
      <c r="C11" s="5">
        <f t="shared" si="0"/>
        <v>9.7166666667326353</v>
      </c>
      <c r="D11" s="6">
        <v>5.5E-2</v>
      </c>
      <c r="E11" s="6">
        <v>5.8000000000000003E-2</v>
      </c>
      <c r="F11" s="6">
        <v>0.107</v>
      </c>
      <c r="G11" s="7">
        <v>0</v>
      </c>
    </row>
    <row r="12" spans="1:7" ht="16" x14ac:dyDescent="0.2">
      <c r="B12" s="4">
        <v>42796.855555555558</v>
      </c>
      <c r="C12" s="5">
        <f t="shared" si="0"/>
        <v>11.550000000104774</v>
      </c>
      <c r="D12" s="6">
        <v>9.4E-2</v>
      </c>
      <c r="E12" s="6">
        <v>9.6000000000000002E-2</v>
      </c>
      <c r="F12" s="6">
        <v>0.186</v>
      </c>
      <c r="G12" s="7">
        <v>2E-3</v>
      </c>
    </row>
    <row r="13" spans="1:7" ht="16" x14ac:dyDescent="0.2">
      <c r="B13" s="4">
        <v>42796.897222222222</v>
      </c>
      <c r="C13" s="5">
        <f t="shared" si="0"/>
        <v>12.550000000046566</v>
      </c>
      <c r="D13" s="6">
        <v>0.107</v>
      </c>
      <c r="E13" s="6">
        <v>0.123</v>
      </c>
      <c r="F13" s="6">
        <v>0.25</v>
      </c>
      <c r="G13" s="7">
        <v>0</v>
      </c>
    </row>
    <row r="14" spans="1:7" ht="16" x14ac:dyDescent="0.2">
      <c r="B14" s="4">
        <v>42796.947916666664</v>
      </c>
      <c r="C14" s="5">
        <f t="shared" si="0"/>
        <v>13.766666666662786</v>
      </c>
      <c r="D14" s="10">
        <v>0.14499999999999999</v>
      </c>
      <c r="E14" s="10">
        <v>0.17299999999999999</v>
      </c>
      <c r="F14">
        <f>0.199*2</f>
        <v>0.39800000000000002</v>
      </c>
      <c r="G14" s="11">
        <v>-1E-3</v>
      </c>
    </row>
    <row r="15" spans="1:7" ht="16" x14ac:dyDescent="0.2">
      <c r="B15" s="8">
        <v>42797.022222222222</v>
      </c>
      <c r="C15" s="13">
        <f t="shared" si="0"/>
        <v>15.550000000046566</v>
      </c>
      <c r="D15" s="10">
        <v>0.23</v>
      </c>
      <c r="E15" s="10">
        <v>0.29799999999999999</v>
      </c>
      <c r="F15">
        <f>0.27*3</f>
        <v>0.81</v>
      </c>
      <c r="G15" s="11">
        <v>-1E-3</v>
      </c>
    </row>
    <row r="16" spans="1:7" ht="16" x14ac:dyDescent="0.2">
      <c r="B16" s="14">
        <v>42797.128472222219</v>
      </c>
      <c r="C16" s="13">
        <f t="shared" si="0"/>
        <v>18.099999999976717</v>
      </c>
      <c r="D16">
        <f>0.165*3</f>
        <v>0.495</v>
      </c>
      <c r="E16">
        <f>0.193*4</f>
        <v>0.77200000000000002</v>
      </c>
      <c r="F16">
        <f>0.294*6</f>
        <v>1.7639999999999998</v>
      </c>
      <c r="G16" s="11">
        <v>-1E-3</v>
      </c>
    </row>
    <row r="17" spans="2:8" ht="16" x14ac:dyDescent="0.2">
      <c r="B17" s="14"/>
      <c r="C17" s="13"/>
      <c r="G17" s="11"/>
    </row>
    <row r="18" spans="2:8" ht="16" x14ac:dyDescent="0.2">
      <c r="B18" s="14"/>
      <c r="C18" s="13"/>
      <c r="G18" s="11"/>
    </row>
    <row r="19" spans="2:8" ht="16" x14ac:dyDescent="0.2">
      <c r="C19" s="4" t="s">
        <v>7</v>
      </c>
      <c r="D19" s="6">
        <v>7.05</v>
      </c>
      <c r="E19" s="6">
        <v>7.1</v>
      </c>
      <c r="F19" s="6">
        <v>7.39</v>
      </c>
      <c r="G19" s="6">
        <v>6.95</v>
      </c>
    </row>
    <row r="20" spans="2:8" x14ac:dyDescent="0.2">
      <c r="G20" t="s">
        <v>8</v>
      </c>
      <c r="H20" t="s">
        <v>9</v>
      </c>
    </row>
    <row r="21" spans="2:8" ht="16" x14ac:dyDescent="0.2">
      <c r="C21" s="2" t="s">
        <v>10</v>
      </c>
      <c r="D21" s="6">
        <f>LN(LOGEST(D13:D16,C13:C16))</f>
        <v>0.27621882641486256</v>
      </c>
      <c r="E21" s="6">
        <f>LN(LOGEST(E13:E16,C13:C16))</f>
        <v>0.33182269284795374</v>
      </c>
      <c r="F21" s="6">
        <f>LN(LOGEST(F13:F16,C13:C16))</f>
        <v>0.35329844483560963</v>
      </c>
      <c r="G21" s="9">
        <f>AVERAGE(D21:F21)</f>
        <v>0.32044665469947531</v>
      </c>
      <c r="H21" s="6">
        <f>STDEV(D21:F21)</f>
        <v>3.9779109805760042E-2</v>
      </c>
    </row>
    <row r="22" spans="2:8" ht="16" x14ac:dyDescent="0.2">
      <c r="C22" s="4" t="s">
        <v>11</v>
      </c>
      <c r="D22" s="6">
        <f>LN(2)/D21</f>
        <v>2.5094132415104959</v>
      </c>
      <c r="E22" s="6">
        <f t="shared" ref="E22:F22" si="1">LN(2)/E21</f>
        <v>2.0889083100701495</v>
      </c>
      <c r="F22" s="6">
        <f t="shared" si="1"/>
        <v>1.961931026564433</v>
      </c>
      <c r="G22" s="9">
        <f>AVERAGE(D22:F22)</f>
        <v>2.1867508593816929</v>
      </c>
      <c r="H22" s="6">
        <f>STDEV(D22:F22)</f>
        <v>0.28655552212860463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workbookViewId="0">
      <selection activeCell="H19" sqref="H19"/>
    </sheetView>
  </sheetViews>
  <sheetFormatPr baseColWidth="10" defaultColWidth="8.83203125" defaultRowHeight="15" x14ac:dyDescent="0.2"/>
  <cols>
    <col min="2" max="2" width="14.83203125" bestFit="1" customWidth="1"/>
  </cols>
  <sheetData>
    <row r="3" spans="1:7" x14ac:dyDescent="0.2">
      <c r="A3" s="1" t="s">
        <v>22</v>
      </c>
    </row>
    <row r="4" spans="1:7" x14ac:dyDescent="0.2">
      <c r="A4" t="s">
        <v>23</v>
      </c>
    </row>
    <row r="5" spans="1:7" ht="16" x14ac:dyDescent="0.2">
      <c r="B5" s="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16" x14ac:dyDescent="0.2">
      <c r="B6" s="4">
        <v>42809.463194444441</v>
      </c>
      <c r="C6" s="5">
        <f>(B6-$B$6)*24</f>
        <v>0</v>
      </c>
      <c r="D6" s="6">
        <v>7.0000000000000001E-3</v>
      </c>
      <c r="E6" s="6">
        <v>7.0000000000000001E-3</v>
      </c>
      <c r="F6" s="6">
        <v>7.0000000000000001E-3</v>
      </c>
      <c r="G6" s="7">
        <v>0</v>
      </c>
    </row>
    <row r="7" spans="1:7" ht="16" x14ac:dyDescent="0.2">
      <c r="B7" s="4">
        <v>42809.541666666664</v>
      </c>
      <c r="C7" s="5">
        <f t="shared" ref="C7:C16" si="0">(B7-$B$6)*24</f>
        <v>1.8833333333604969</v>
      </c>
      <c r="D7" s="6">
        <v>1.6E-2</v>
      </c>
      <c r="E7" s="6">
        <v>1.4E-2</v>
      </c>
      <c r="F7" s="6">
        <v>1.4E-2</v>
      </c>
      <c r="G7" s="7">
        <v>1E-3</v>
      </c>
    </row>
    <row r="8" spans="1:7" ht="16" x14ac:dyDescent="0.2">
      <c r="B8" s="4">
        <v>42809.68472222222</v>
      </c>
      <c r="C8" s="5">
        <f t="shared" si="0"/>
        <v>5.3166666667093523</v>
      </c>
      <c r="D8" s="6">
        <v>0.03</v>
      </c>
      <c r="E8" s="6">
        <v>2.5000000000000001E-2</v>
      </c>
      <c r="F8" s="6">
        <v>2.5999999999999999E-2</v>
      </c>
      <c r="G8" s="7">
        <v>0</v>
      </c>
    </row>
    <row r="9" spans="1:7" ht="16" x14ac:dyDescent="0.2">
      <c r="B9" s="4">
        <v>42809.770833333336</v>
      </c>
      <c r="C9" s="5">
        <f t="shared" si="0"/>
        <v>7.3833333334769122</v>
      </c>
      <c r="D9" s="6">
        <v>0.05</v>
      </c>
      <c r="E9" s="6">
        <v>4.2000000000000003E-2</v>
      </c>
      <c r="F9" s="6">
        <v>4.4999999999999998E-2</v>
      </c>
      <c r="G9" s="7">
        <v>0</v>
      </c>
    </row>
    <row r="10" spans="1:7" ht="16" x14ac:dyDescent="0.2">
      <c r="B10" s="4">
        <v>42809.845833333333</v>
      </c>
      <c r="C10" s="5">
        <f t="shared" si="0"/>
        <v>9.183333333407063</v>
      </c>
      <c r="D10" s="6">
        <v>7.8E-2</v>
      </c>
      <c r="E10" s="6">
        <v>6.6000000000000003E-2</v>
      </c>
      <c r="F10" s="6">
        <v>6.9000000000000006E-2</v>
      </c>
      <c r="G10" s="7">
        <v>0</v>
      </c>
    </row>
    <row r="11" spans="1:7" ht="16" x14ac:dyDescent="0.2">
      <c r="B11" s="4">
        <v>42809.93472222222</v>
      </c>
      <c r="C11" s="5">
        <f t="shared" si="0"/>
        <v>11.316666666709352</v>
      </c>
      <c r="D11" s="6">
        <v>0.13800000000000001</v>
      </c>
      <c r="E11" s="6">
        <v>0.113</v>
      </c>
      <c r="F11" s="6">
        <v>0.11799999999999999</v>
      </c>
      <c r="G11" s="7">
        <v>0</v>
      </c>
    </row>
    <row r="12" spans="1:7" ht="16" x14ac:dyDescent="0.2">
      <c r="B12" s="4">
        <v>42809.994444444441</v>
      </c>
      <c r="C12" s="5">
        <f t="shared" si="0"/>
        <v>12.75</v>
      </c>
      <c r="D12" s="6">
        <v>0.2</v>
      </c>
      <c r="E12" s="6">
        <v>0.159</v>
      </c>
      <c r="F12" s="6">
        <v>0.16500000000000001</v>
      </c>
      <c r="G12" s="7">
        <v>0</v>
      </c>
    </row>
    <row r="13" spans="1:7" ht="16" x14ac:dyDescent="0.2">
      <c r="B13" s="4">
        <v>42810.115277777775</v>
      </c>
      <c r="C13" s="5">
        <f t="shared" si="0"/>
        <v>15.650000000023283</v>
      </c>
      <c r="D13" s="6">
        <f>0.251*2</f>
        <v>0.502</v>
      </c>
      <c r="E13" s="6">
        <f>0.18*2</f>
        <v>0.36</v>
      </c>
      <c r="F13" s="6">
        <f>0.184*2</f>
        <v>0.36799999999999999</v>
      </c>
      <c r="G13" s="7">
        <v>0</v>
      </c>
    </row>
    <row r="14" spans="1:7" ht="16" x14ac:dyDescent="0.2">
      <c r="B14" s="4">
        <v>42810.290972222225</v>
      </c>
      <c r="C14" s="5">
        <f t="shared" si="0"/>
        <v>19.866666666814126</v>
      </c>
      <c r="D14" s="10">
        <f>0.25*9</f>
        <v>2.25</v>
      </c>
      <c r="E14" s="10">
        <f>0.217*8</f>
        <v>1.736</v>
      </c>
      <c r="F14">
        <f>0.201*8</f>
        <v>1.6080000000000001</v>
      </c>
      <c r="G14" s="11">
        <v>0</v>
      </c>
    </row>
    <row r="15" spans="1:7" ht="16" x14ac:dyDescent="0.2">
      <c r="B15" s="8">
        <v>42810.381944444445</v>
      </c>
      <c r="C15" s="13">
        <f t="shared" si="0"/>
        <v>22.050000000104774</v>
      </c>
      <c r="D15" s="10">
        <f>0.283*12</f>
        <v>3.3959999999999999</v>
      </c>
      <c r="E15" s="10">
        <f>0.264*11</f>
        <v>2.9039999999999999</v>
      </c>
      <c r="F15">
        <f>0.283*12</f>
        <v>3.3959999999999999</v>
      </c>
      <c r="G15" s="11">
        <v>0</v>
      </c>
    </row>
    <row r="16" spans="1:7" ht="16" x14ac:dyDescent="0.2">
      <c r="B16" s="14">
        <v>42810.4375</v>
      </c>
      <c r="C16" s="13">
        <f t="shared" si="0"/>
        <v>23.383333333418705</v>
      </c>
      <c r="D16">
        <f>0.28*13</f>
        <v>3.6400000000000006</v>
      </c>
      <c r="E16">
        <f>0.268*13</f>
        <v>3.484</v>
      </c>
      <c r="F16">
        <f>0.288*13</f>
        <v>3.7439999999999998</v>
      </c>
      <c r="G16" s="11">
        <v>0</v>
      </c>
    </row>
    <row r="17" spans="2:8" ht="16" x14ac:dyDescent="0.2">
      <c r="B17" s="14"/>
      <c r="C17" s="13"/>
      <c r="G17" s="11"/>
    </row>
    <row r="18" spans="2:8" ht="16" x14ac:dyDescent="0.2">
      <c r="B18" s="14"/>
      <c r="C18" s="13"/>
      <c r="G18" s="11"/>
    </row>
    <row r="19" spans="2:8" ht="16" x14ac:dyDescent="0.2">
      <c r="C19" s="4" t="s">
        <v>7</v>
      </c>
      <c r="D19" s="6">
        <v>8.1999999999999993</v>
      </c>
      <c r="E19" s="6">
        <v>0.80400000000000005</v>
      </c>
      <c r="F19" s="6">
        <v>8.2799999999999994</v>
      </c>
      <c r="G19" s="6">
        <v>6.95</v>
      </c>
    </row>
    <row r="20" spans="2:8" x14ac:dyDescent="0.2">
      <c r="G20" t="s">
        <v>8</v>
      </c>
      <c r="H20" t="s">
        <v>9</v>
      </c>
    </row>
    <row r="21" spans="2:8" ht="16" x14ac:dyDescent="0.2">
      <c r="C21" s="2" t="s">
        <v>10</v>
      </c>
      <c r="D21" s="6">
        <f>LN(LOGEST(D11:D14,C11:C14))</f>
        <v>0.32917331835357577</v>
      </c>
      <c r="E21" s="6">
        <f>LN(LOGEST(E12:E15,C12:C15))</f>
        <v>0.32296142800894029</v>
      </c>
      <c r="F21" s="6">
        <f>LN(LOGEST(F12:F15,C12:C15))</f>
        <v>0.3287635941735631</v>
      </c>
      <c r="G21" s="9">
        <f>AVERAGE(D21:F21)</f>
        <v>0.32696611351202637</v>
      </c>
      <c r="H21" s="6">
        <f>STDEV(D21:F21)</f>
        <v>3.4742046514119941E-3</v>
      </c>
    </row>
    <row r="22" spans="2:8" ht="16" x14ac:dyDescent="0.2">
      <c r="C22" s="4" t="s">
        <v>11</v>
      </c>
      <c r="D22" s="6">
        <f>LN(2)/D21</f>
        <v>2.1057210348240112</v>
      </c>
      <c r="E22" s="6">
        <f t="shared" ref="E22:F22" si="1">LN(2)/E21</f>
        <v>2.1462228007635558</v>
      </c>
      <c r="F22" s="6">
        <f t="shared" si="1"/>
        <v>2.1083453060012913</v>
      </c>
      <c r="G22" s="9">
        <f>AVERAGE(D22:F22)</f>
        <v>2.1200963805296191</v>
      </c>
      <c r="H22" s="6">
        <f>STDEV(D22:F22)</f>
        <v>2.2664158389032546E-2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H17" sqref="H17"/>
    </sheetView>
  </sheetViews>
  <sheetFormatPr baseColWidth="10" defaultColWidth="8.83203125" defaultRowHeight="15" x14ac:dyDescent="0.2"/>
  <cols>
    <col min="2" max="2" width="14.33203125" bestFit="1" customWidth="1"/>
  </cols>
  <sheetData>
    <row r="3" spans="1:7" x14ac:dyDescent="0.2">
      <c r="A3" s="1" t="s">
        <v>24</v>
      </c>
    </row>
    <row r="4" spans="1:7" x14ac:dyDescent="0.2">
      <c r="A4" t="s">
        <v>17</v>
      </c>
    </row>
    <row r="5" spans="1:7" ht="16" x14ac:dyDescent="0.2">
      <c r="B5" s="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16" x14ac:dyDescent="0.2">
      <c r="B6" s="4">
        <v>42809.268055555556</v>
      </c>
      <c r="C6" s="5">
        <f>(B6-$B$6)*24</f>
        <v>0</v>
      </c>
      <c r="D6" s="6">
        <v>6.0000000000000001E-3</v>
      </c>
      <c r="E6" s="6">
        <v>6.0000000000000001E-3</v>
      </c>
      <c r="F6" s="6">
        <v>6.0000000000000001E-3</v>
      </c>
      <c r="G6" s="7">
        <v>-2E-3</v>
      </c>
    </row>
    <row r="7" spans="1:7" ht="16" x14ac:dyDescent="0.2">
      <c r="B7" s="4">
        <v>42809.418749999997</v>
      </c>
      <c r="C7" s="5">
        <f t="shared" ref="C7:C15" si="0">(B7-$B$6)*24</f>
        <v>3.6166666665812954</v>
      </c>
      <c r="D7" s="6">
        <v>2.1000000000000001E-2</v>
      </c>
      <c r="E7" s="6">
        <v>1.7999999999999999E-2</v>
      </c>
      <c r="F7" s="6">
        <v>2.1000000000000001E-2</v>
      </c>
      <c r="G7" s="7">
        <v>-2E-3</v>
      </c>
    </row>
    <row r="8" spans="1:7" ht="16" x14ac:dyDescent="0.2">
      <c r="B8" s="4">
        <v>42809.506944444445</v>
      </c>
      <c r="C8" s="5">
        <f t="shared" si="0"/>
        <v>5.7333333333372138</v>
      </c>
      <c r="D8" s="6">
        <v>4.3999999999999997E-2</v>
      </c>
      <c r="E8" s="6">
        <v>3.9E-2</v>
      </c>
      <c r="F8" s="6">
        <v>0.04</v>
      </c>
      <c r="G8" s="7">
        <v>2E-3</v>
      </c>
    </row>
    <row r="9" spans="1:7" ht="16" x14ac:dyDescent="0.2">
      <c r="B9" s="4">
        <v>42809.580555555556</v>
      </c>
      <c r="C9" s="5">
        <f t="shared" si="0"/>
        <v>7.5</v>
      </c>
      <c r="D9" s="6">
        <v>7.9000000000000001E-2</v>
      </c>
      <c r="E9" s="6">
        <v>6.9000000000000006E-2</v>
      </c>
      <c r="F9" s="6">
        <v>7.0999999999999994E-2</v>
      </c>
      <c r="G9" s="7">
        <v>0</v>
      </c>
    </row>
    <row r="10" spans="1:7" ht="16" x14ac:dyDescent="0.2">
      <c r="B10" s="4">
        <v>42809.682638888888</v>
      </c>
      <c r="C10" s="5">
        <f t="shared" si="0"/>
        <v>9.9499999999534339</v>
      </c>
      <c r="D10" s="6">
        <v>0.18</v>
      </c>
      <c r="E10" s="6">
        <v>0.14799999999999999</v>
      </c>
      <c r="F10" s="6">
        <v>0.16</v>
      </c>
      <c r="G10" s="7">
        <v>-1E-3</v>
      </c>
    </row>
    <row r="11" spans="1:7" ht="16" x14ac:dyDescent="0.2">
      <c r="B11" s="4">
        <v>42809.769444444442</v>
      </c>
      <c r="C11" s="5">
        <f t="shared" si="0"/>
        <v>12.033333333267365</v>
      </c>
      <c r="D11" s="6">
        <f>0.202*2</f>
        <v>0.40400000000000003</v>
      </c>
      <c r="E11" s="6">
        <f>0.165*2</f>
        <v>0.33</v>
      </c>
      <c r="F11" s="6">
        <f>0.178*2</f>
        <v>0.35599999999999998</v>
      </c>
      <c r="G11" s="7">
        <v>0</v>
      </c>
    </row>
    <row r="12" spans="1:7" ht="16" x14ac:dyDescent="0.2">
      <c r="B12" s="4">
        <v>42809.844444444447</v>
      </c>
      <c r="C12" s="5">
        <f t="shared" si="0"/>
        <v>13.833333333372138</v>
      </c>
      <c r="D12" s="6">
        <f>0.282*3</f>
        <v>0.84599999999999986</v>
      </c>
      <c r="E12" s="6">
        <f>0.21*3</f>
        <v>0.63</v>
      </c>
      <c r="F12" s="6">
        <f>0.247*3</f>
        <v>0.74099999999999999</v>
      </c>
      <c r="G12" s="7">
        <v>0</v>
      </c>
    </row>
    <row r="13" spans="1:7" ht="16" x14ac:dyDescent="0.2">
      <c r="B13" s="4">
        <v>42809.933333333334</v>
      </c>
      <c r="C13" s="5">
        <f t="shared" si="0"/>
        <v>15.966666666674428</v>
      </c>
      <c r="D13" s="6">
        <f>0.27*7</f>
        <v>1.8900000000000001</v>
      </c>
      <c r="E13" s="6">
        <f>0.21*7</f>
        <v>1.47</v>
      </c>
      <c r="F13" s="6">
        <f>0.235*7</f>
        <v>1.645</v>
      </c>
      <c r="G13" s="7">
        <v>1.2E-2</v>
      </c>
    </row>
    <row r="14" spans="1:7" ht="16" x14ac:dyDescent="0.2">
      <c r="B14" s="4">
        <v>42809.974999999999</v>
      </c>
      <c r="C14" s="5">
        <f t="shared" si="0"/>
        <v>16.96666666661622</v>
      </c>
      <c r="D14">
        <f>0.27*9</f>
        <v>2.4300000000000002</v>
      </c>
      <c r="E14">
        <f>0.274*8</f>
        <v>2.1920000000000002</v>
      </c>
      <c r="F14">
        <f>0.27*8</f>
        <v>2.16</v>
      </c>
      <c r="G14" s="11">
        <v>0</v>
      </c>
    </row>
    <row r="15" spans="1:7" ht="16" x14ac:dyDescent="0.2">
      <c r="B15" s="8">
        <v>42810.005555555559</v>
      </c>
      <c r="C15" s="13">
        <f t="shared" si="0"/>
        <v>17.700000000069849</v>
      </c>
      <c r="D15">
        <f>0.285*10</f>
        <v>2.8499999999999996</v>
      </c>
      <c r="E15">
        <f>0.285*9</f>
        <v>2.5649999999999999</v>
      </c>
      <c r="F15">
        <f>0.281*9</f>
        <v>2.5290000000000004</v>
      </c>
      <c r="G15" s="11">
        <v>0</v>
      </c>
    </row>
    <row r="17" spans="3:8" ht="16" x14ac:dyDescent="0.2">
      <c r="C17" s="4" t="s">
        <v>7</v>
      </c>
      <c r="D17" s="6">
        <v>7.73</v>
      </c>
      <c r="E17" s="6">
        <v>7.64</v>
      </c>
      <c r="F17" s="6">
        <v>7.64</v>
      </c>
      <c r="G17" s="6">
        <v>6.94</v>
      </c>
    </row>
    <row r="18" spans="3:8" x14ac:dyDescent="0.2">
      <c r="G18" t="s">
        <v>8</v>
      </c>
      <c r="H18" t="s">
        <v>9</v>
      </c>
    </row>
    <row r="19" spans="3:8" ht="16" x14ac:dyDescent="0.2">
      <c r="C19" s="2" t="s">
        <v>10</v>
      </c>
      <c r="D19" s="6">
        <f>LN(LOGEST(D10:D13,C10:C13))</f>
        <v>0.39242174270229879</v>
      </c>
      <c r="E19" s="6">
        <f>LN(LOGEST(E11:E14,C11:C14))</f>
        <v>0.38507291594322557</v>
      </c>
      <c r="F19" s="6">
        <f>LN(LOGEST(F10:F13,C10:C13))</f>
        <v>0.38893622819454032</v>
      </c>
      <c r="G19" s="9">
        <f>AVERAGE(D19:F19)</f>
        <v>0.38881029561335484</v>
      </c>
      <c r="H19" s="6">
        <f>STDEV(D19:F19)</f>
        <v>3.6760315484188496E-3</v>
      </c>
    </row>
    <row r="20" spans="3:8" ht="16" x14ac:dyDescent="0.2">
      <c r="C20" s="4" t="s">
        <v>11</v>
      </c>
      <c r="D20" s="6">
        <f>LN(2)/D19</f>
        <v>1.766332252098948</v>
      </c>
      <c r="E20" s="6">
        <f t="shared" ref="E20:F20" si="1">LN(2)/E19</f>
        <v>1.800041373624266</v>
      </c>
      <c r="F20" s="6">
        <f t="shared" si="1"/>
        <v>1.782161522410926</v>
      </c>
      <c r="G20" s="9">
        <f>AVERAGE(D20:F20)</f>
        <v>1.7828450493780466</v>
      </c>
      <c r="H20" s="6">
        <f>STDEV(D20:F20)</f>
        <v>1.6864952574444154E-2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G17" sqref="G17"/>
    </sheetView>
  </sheetViews>
  <sheetFormatPr baseColWidth="10" defaultColWidth="8.83203125" defaultRowHeight="15" x14ac:dyDescent="0.2"/>
  <cols>
    <col min="2" max="2" width="14.33203125" bestFit="1" customWidth="1"/>
  </cols>
  <sheetData>
    <row r="3" spans="1:7" x14ac:dyDescent="0.2">
      <c r="A3" s="1" t="s">
        <v>20</v>
      </c>
    </row>
    <row r="4" spans="1:7" x14ac:dyDescent="0.2">
      <c r="A4" t="s">
        <v>21</v>
      </c>
    </row>
    <row r="5" spans="1:7" ht="16" x14ac:dyDescent="0.2">
      <c r="B5" s="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16" x14ac:dyDescent="0.2">
      <c r="B6" s="4">
        <v>42782.378472222219</v>
      </c>
      <c r="C6" s="5">
        <f>(B6-$B$6)*24</f>
        <v>0</v>
      </c>
      <c r="D6" s="6">
        <v>8.0000000000000002E-3</v>
      </c>
      <c r="E6" s="6">
        <v>8.0000000000000002E-3</v>
      </c>
      <c r="F6" s="6">
        <v>7.0000000000000001E-3</v>
      </c>
      <c r="G6" s="7">
        <v>-1E-3</v>
      </c>
    </row>
    <row r="7" spans="1:7" ht="16" x14ac:dyDescent="0.2">
      <c r="B7" s="4">
        <v>42782.470138888886</v>
      </c>
      <c r="C7" s="5">
        <f t="shared" ref="C7:C15" si="0">(B7-$B$6)*24</f>
        <v>2.2000000000116415</v>
      </c>
      <c r="D7" s="6">
        <v>0.02</v>
      </c>
      <c r="E7" s="6">
        <v>1.9E-2</v>
      </c>
      <c r="F7" s="6">
        <v>1.7999999999999999E-2</v>
      </c>
      <c r="G7" s="7">
        <v>-2E-3</v>
      </c>
    </row>
    <row r="8" spans="1:7" ht="16" x14ac:dyDescent="0.2">
      <c r="B8" s="4">
        <v>42782.541666666664</v>
      </c>
      <c r="C8" s="5">
        <f t="shared" si="0"/>
        <v>3.9166666666860692</v>
      </c>
      <c r="D8" s="6">
        <v>3.5999999999999997E-2</v>
      </c>
      <c r="E8" s="6">
        <v>3.5000000000000003E-2</v>
      </c>
      <c r="F8" s="6">
        <v>3.3000000000000002E-2</v>
      </c>
      <c r="G8" s="7">
        <v>-2E-3</v>
      </c>
    </row>
    <row r="9" spans="1:7" ht="16" x14ac:dyDescent="0.2">
      <c r="B9" s="4">
        <v>42782.626388888886</v>
      </c>
      <c r="C9" s="5">
        <f t="shared" si="0"/>
        <v>5.9500000000116415</v>
      </c>
      <c r="D9" s="6">
        <v>6.8000000000000005E-2</v>
      </c>
      <c r="E9" s="6">
        <v>6.7000000000000004E-2</v>
      </c>
      <c r="F9" s="6">
        <v>6.3E-2</v>
      </c>
      <c r="G9" s="7">
        <v>-2E-3</v>
      </c>
    </row>
    <row r="10" spans="1:7" ht="16" x14ac:dyDescent="0.2">
      <c r="B10" s="4">
        <v>42782.713888888888</v>
      </c>
      <c r="C10" s="5">
        <f t="shared" si="0"/>
        <v>8.0500000000465661</v>
      </c>
      <c r="D10" s="6">
        <v>0.14000000000000001</v>
      </c>
      <c r="E10" s="6">
        <v>0.13100000000000001</v>
      </c>
      <c r="F10" s="6">
        <v>0.13</v>
      </c>
      <c r="G10" s="7">
        <v>-2E-3</v>
      </c>
    </row>
    <row r="11" spans="1:7" ht="16" x14ac:dyDescent="0.2">
      <c r="B11" s="4">
        <v>42782.823611111111</v>
      </c>
      <c r="C11" s="5">
        <f t="shared" si="0"/>
        <v>10.683333333407063</v>
      </c>
      <c r="D11" s="6">
        <f>0.19*2</f>
        <v>0.38</v>
      </c>
      <c r="E11" s="6">
        <f>0.178*2</f>
        <v>0.35599999999999998</v>
      </c>
      <c r="F11" s="6">
        <f>0.166*2</f>
        <v>0.33200000000000002</v>
      </c>
      <c r="G11" s="7">
        <v>-2E-3</v>
      </c>
    </row>
    <row r="12" spans="1:7" ht="16" x14ac:dyDescent="0.2">
      <c r="B12" s="4">
        <v>42782.893055555556</v>
      </c>
      <c r="C12" s="5">
        <f t="shared" si="0"/>
        <v>12.350000000093132</v>
      </c>
      <c r="D12" s="6">
        <f>0.255*3</f>
        <v>0.76500000000000001</v>
      </c>
      <c r="E12" s="6">
        <f>0.233*3</f>
        <v>0.69900000000000007</v>
      </c>
      <c r="F12" s="6">
        <f>0.218*3</f>
        <v>0.65400000000000003</v>
      </c>
      <c r="G12" s="7">
        <v>0</v>
      </c>
    </row>
    <row r="13" spans="1:7" ht="16" x14ac:dyDescent="0.2">
      <c r="B13" s="4">
        <v>42782.942361111112</v>
      </c>
      <c r="C13" s="5">
        <f t="shared" si="0"/>
        <v>13.533333333441988</v>
      </c>
      <c r="D13" s="6">
        <f>0.246*5</f>
        <v>1.23</v>
      </c>
      <c r="E13" s="6">
        <f>0.226*5</f>
        <v>1.1300000000000001</v>
      </c>
      <c r="F13" s="6">
        <f>0.21*5</f>
        <v>1.05</v>
      </c>
      <c r="G13" s="7">
        <v>2E-3</v>
      </c>
    </row>
    <row r="14" spans="1:7" ht="16" x14ac:dyDescent="0.2">
      <c r="B14" s="4">
        <v>42782.981249999997</v>
      </c>
      <c r="C14" s="5">
        <f t="shared" si="0"/>
        <v>14.466666666674428</v>
      </c>
      <c r="D14">
        <f>0.231*7</f>
        <v>1.617</v>
      </c>
      <c r="E14">
        <f>0.215*7</f>
        <v>1.5049999999999999</v>
      </c>
      <c r="F14">
        <f>0.213*7</f>
        <v>1.4909999999999999</v>
      </c>
      <c r="G14" s="11">
        <v>-1E-3</v>
      </c>
    </row>
    <row r="15" spans="1:7" ht="16" x14ac:dyDescent="0.2">
      <c r="B15" s="8">
        <v>42783.004166666666</v>
      </c>
      <c r="C15" s="13">
        <f t="shared" si="0"/>
        <v>15.016666666720994</v>
      </c>
      <c r="D15">
        <f>0.233*8</f>
        <v>1.8640000000000001</v>
      </c>
      <c r="E15">
        <f>0.215*8</f>
        <v>1.72</v>
      </c>
      <c r="F15">
        <f>0.216*8</f>
        <v>1.728</v>
      </c>
      <c r="G15" s="11">
        <v>2E-3</v>
      </c>
    </row>
    <row r="17" spans="3:8" ht="16" x14ac:dyDescent="0.2">
      <c r="C17" s="4" t="s">
        <v>7</v>
      </c>
      <c r="D17" s="6">
        <v>7.37</v>
      </c>
      <c r="E17" s="6">
        <v>7.32</v>
      </c>
      <c r="F17" s="6">
        <v>7.33</v>
      </c>
      <c r="G17" s="6">
        <v>6.88</v>
      </c>
    </row>
    <row r="18" spans="3:8" x14ac:dyDescent="0.2">
      <c r="G18" t="s">
        <v>8</v>
      </c>
      <c r="H18" t="s">
        <v>9</v>
      </c>
    </row>
    <row r="19" spans="3:8" ht="16" x14ac:dyDescent="0.2">
      <c r="C19" s="2" t="s">
        <v>10</v>
      </c>
      <c r="D19" s="6">
        <f>LN(LOGEST(D10:D13,C10:C13))</f>
        <v>0.39715012753218987</v>
      </c>
      <c r="E19" s="6">
        <f>LN(LOGEST(E10:E13,C10:C13))</f>
        <v>0.39286258623394854</v>
      </c>
      <c r="F19" s="6">
        <f>LN(LOGEST(F11:F14,C11:C14))</f>
        <v>0.39812054634802174</v>
      </c>
      <c r="G19" s="9">
        <f>AVERAGE(D19:F19)</f>
        <v>0.39604442003805335</v>
      </c>
      <c r="H19" s="6">
        <f>STDEV(D19:F19)</f>
        <v>2.7979417322807768E-3</v>
      </c>
    </row>
    <row r="20" spans="3:8" ht="16" x14ac:dyDescent="0.2">
      <c r="C20" s="4" t="s">
        <v>11</v>
      </c>
      <c r="D20" s="6">
        <f>LN(2)/D19</f>
        <v>1.7453026765143471</v>
      </c>
      <c r="E20" s="6">
        <f t="shared" ref="E20:F20" si="1">LN(2)/E19</f>
        <v>1.7643501948214997</v>
      </c>
      <c r="F20" s="6">
        <f t="shared" si="1"/>
        <v>1.7410485013100092</v>
      </c>
      <c r="G20" s="9">
        <f>AVERAGE(D20:F20)</f>
        <v>1.7502337908819523</v>
      </c>
      <c r="H20" s="6">
        <f>STDEV(D20:F20)</f>
        <v>1.2408833418402345E-2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L17" sqref="L17"/>
    </sheetView>
  </sheetViews>
  <sheetFormatPr baseColWidth="10" defaultColWidth="8.83203125" defaultRowHeight="15" x14ac:dyDescent="0.2"/>
  <cols>
    <col min="2" max="2" width="13.1640625" bestFit="1" customWidth="1"/>
  </cols>
  <sheetData>
    <row r="3" spans="1:7" x14ac:dyDescent="0.2">
      <c r="A3" s="1" t="s">
        <v>15</v>
      </c>
    </row>
    <row r="4" spans="1:7" x14ac:dyDescent="0.2">
      <c r="A4" t="s">
        <v>14</v>
      </c>
    </row>
    <row r="5" spans="1:7" ht="16" x14ac:dyDescent="0.2">
      <c r="B5" s="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16" x14ac:dyDescent="0.2">
      <c r="B6" s="4">
        <v>42768.354861111111</v>
      </c>
      <c r="C6" s="5">
        <f>(B6-$B$6)*24</f>
        <v>0</v>
      </c>
      <c r="D6" s="6">
        <v>8.0000000000000002E-3</v>
      </c>
      <c r="E6" s="6">
        <v>8.0000000000000002E-3</v>
      </c>
      <c r="F6" s="6">
        <v>8.0000000000000002E-3</v>
      </c>
      <c r="G6" s="7">
        <v>0</v>
      </c>
    </row>
    <row r="7" spans="1:7" ht="16" x14ac:dyDescent="0.2">
      <c r="B7" s="4">
        <v>42768.479861111111</v>
      </c>
      <c r="C7" s="5">
        <f t="shared" ref="C7:C14" si="0">(B7-$B$6)*24</f>
        <v>3</v>
      </c>
      <c r="D7" s="6">
        <v>2.5000000000000001E-2</v>
      </c>
      <c r="E7" s="6">
        <v>2.5000000000000001E-2</v>
      </c>
      <c r="F7" s="6">
        <v>2.8000000000000001E-2</v>
      </c>
      <c r="G7" s="7">
        <v>0</v>
      </c>
    </row>
    <row r="8" spans="1:7" ht="16" x14ac:dyDescent="0.2">
      <c r="B8" s="4">
        <v>42768.538888888892</v>
      </c>
      <c r="C8" s="5">
        <f t="shared" si="0"/>
        <v>4.4166666667442769</v>
      </c>
      <c r="D8" s="6">
        <v>4.2000000000000003E-2</v>
      </c>
      <c r="E8" s="6">
        <v>4.2000000000000003E-2</v>
      </c>
      <c r="F8" s="6">
        <v>4.5999999999999999E-2</v>
      </c>
      <c r="G8" s="7">
        <v>0</v>
      </c>
    </row>
    <row r="9" spans="1:7" ht="16" x14ac:dyDescent="0.2">
      <c r="B9" s="4">
        <v>42768.625</v>
      </c>
      <c r="C9" s="5">
        <f t="shared" si="0"/>
        <v>6.4833333333372138</v>
      </c>
      <c r="D9" s="6">
        <v>8.7999999999999995E-2</v>
      </c>
      <c r="E9" s="6">
        <v>8.7999999999999995E-2</v>
      </c>
      <c r="F9" s="6">
        <v>9.4E-2</v>
      </c>
      <c r="G9" s="7">
        <v>0</v>
      </c>
    </row>
    <row r="10" spans="1:7" ht="16" x14ac:dyDescent="0.2">
      <c r="B10" s="4">
        <v>42768.692361111112</v>
      </c>
      <c r="C10" s="5">
        <f t="shared" si="0"/>
        <v>8.1000000000349246</v>
      </c>
      <c r="D10" s="6">
        <v>0.159</v>
      </c>
      <c r="E10" s="6">
        <v>0.161</v>
      </c>
      <c r="F10" s="6">
        <v>0.17100000000000001</v>
      </c>
      <c r="G10" s="7">
        <v>1E-3</v>
      </c>
    </row>
    <row r="11" spans="1:7" ht="16" x14ac:dyDescent="0.2">
      <c r="B11" s="4">
        <v>42768.830555555556</v>
      </c>
      <c r="C11" s="5">
        <f t="shared" si="0"/>
        <v>11.416666666686069</v>
      </c>
      <c r="D11" s="6">
        <f>0.188*3</f>
        <v>0.56400000000000006</v>
      </c>
      <c r="E11" s="6">
        <f>0.196*3</f>
        <v>0.58800000000000008</v>
      </c>
      <c r="F11" s="6">
        <f>0.207*3</f>
        <v>0.621</v>
      </c>
      <c r="G11" s="7">
        <v>0</v>
      </c>
    </row>
    <row r="12" spans="1:7" ht="16" x14ac:dyDescent="0.2">
      <c r="B12" s="4">
        <v>42768.883333333331</v>
      </c>
      <c r="C12" s="5">
        <f t="shared" si="0"/>
        <v>12.683333333290648</v>
      </c>
      <c r="D12" s="6">
        <f>0.224*4</f>
        <v>0.89600000000000002</v>
      </c>
      <c r="E12" s="6">
        <f>0.191*5</f>
        <v>0.95500000000000007</v>
      </c>
      <c r="F12" s="6">
        <f>0.203*5</f>
        <v>1.0150000000000001</v>
      </c>
      <c r="G12" s="7">
        <v>0</v>
      </c>
    </row>
    <row r="13" spans="1:7" ht="16" x14ac:dyDescent="0.2">
      <c r="B13" s="4">
        <v>42768.942361111112</v>
      </c>
      <c r="C13" s="5">
        <f t="shared" si="0"/>
        <v>14.100000000034925</v>
      </c>
      <c r="D13" s="6">
        <f>0.241*6</f>
        <v>1.446</v>
      </c>
      <c r="E13" s="6">
        <f>0.241*7</f>
        <v>1.6869999999999998</v>
      </c>
      <c r="F13" s="6">
        <f>0.221*7</f>
        <v>1.5469999999999999</v>
      </c>
      <c r="G13" s="7">
        <v>1E-3</v>
      </c>
    </row>
    <row r="14" spans="1:7" ht="16" x14ac:dyDescent="0.2">
      <c r="B14" s="4">
        <v>42769.009027777778</v>
      </c>
      <c r="C14" s="5">
        <f t="shared" si="0"/>
        <v>15.700000000011642</v>
      </c>
      <c r="D14">
        <f>0.144*8</f>
        <v>1.1519999999999999</v>
      </c>
      <c r="E14">
        <f>0.223*8</f>
        <v>1.784</v>
      </c>
      <c r="F14">
        <f>0.221*8</f>
        <v>1.768</v>
      </c>
      <c r="G14" s="11">
        <v>1E-3</v>
      </c>
    </row>
    <row r="15" spans="1:7" x14ac:dyDescent="0.2">
      <c r="B15" s="8"/>
    </row>
    <row r="17" spans="3:8" ht="16" x14ac:dyDescent="0.2">
      <c r="C17" s="4" t="s">
        <v>7</v>
      </c>
      <c r="D17" s="6">
        <v>7.64</v>
      </c>
      <c r="E17" s="6">
        <v>7.67</v>
      </c>
      <c r="F17" s="6">
        <v>7.72</v>
      </c>
      <c r="G17" s="6">
        <v>6.97</v>
      </c>
    </row>
    <row r="18" spans="3:8" x14ac:dyDescent="0.2">
      <c r="G18" t="s">
        <v>8</v>
      </c>
      <c r="H18" t="s">
        <v>9</v>
      </c>
    </row>
    <row r="19" spans="3:8" ht="16" x14ac:dyDescent="0.2">
      <c r="C19" s="2" t="s">
        <v>10</v>
      </c>
      <c r="D19" s="6">
        <f>LN(LOGEST(D9:D12,C9:C12))</f>
        <v>0.37594110776496631</v>
      </c>
      <c r="E19" s="6">
        <f>LN(LOGEST(E10:E13,C10:C13))</f>
        <v>0.39077283593502882</v>
      </c>
      <c r="F19" s="6">
        <f>LN(LOGEST(F9:F12,C9:C12))</f>
        <v>0.38479815510362225</v>
      </c>
      <c r="G19" s="9">
        <f>AVERAGE(D19:F19)</f>
        <v>0.38383736626787246</v>
      </c>
      <c r="H19" s="6">
        <f>STDEV(D19:F19)</f>
        <v>7.4623975046785411E-3</v>
      </c>
    </row>
    <row r="20" spans="3:8" ht="16" x14ac:dyDescent="0.2">
      <c r="C20" s="4" t="s">
        <v>11</v>
      </c>
      <c r="D20" s="6">
        <f>LN(2)/D19</f>
        <v>1.8437653298433441</v>
      </c>
      <c r="E20" s="6">
        <f t="shared" ref="E20:F20" si="1">LN(2)/E19</f>
        <v>1.7737854753936637</v>
      </c>
      <c r="F20" s="6">
        <f t="shared" si="1"/>
        <v>1.8013266731314961</v>
      </c>
      <c r="G20" s="9">
        <f>AVERAGE(D20:F20)</f>
        <v>1.8062924927895014</v>
      </c>
      <c r="H20" s="6">
        <f>STDEV(D20:F20)</f>
        <v>3.5253220148753581E-2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workbookViewId="0">
      <selection activeCell="I17" sqref="I17"/>
    </sheetView>
  </sheetViews>
  <sheetFormatPr baseColWidth="10" defaultColWidth="8.83203125" defaultRowHeight="15" x14ac:dyDescent="0.2"/>
  <cols>
    <col min="2" max="2" width="14.33203125" bestFit="1" customWidth="1"/>
  </cols>
  <sheetData>
    <row r="3" spans="1:7" x14ac:dyDescent="0.2">
      <c r="A3" s="1" t="s">
        <v>12</v>
      </c>
    </row>
    <row r="4" spans="1:7" x14ac:dyDescent="0.2">
      <c r="A4" t="s">
        <v>0</v>
      </c>
    </row>
    <row r="5" spans="1:7" ht="16" x14ac:dyDescent="0.2">
      <c r="B5" s="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13</v>
      </c>
    </row>
    <row r="6" spans="1:7" ht="16" x14ac:dyDescent="0.2">
      <c r="B6" s="4">
        <v>42761.375</v>
      </c>
      <c r="C6" s="5">
        <f>(B6-$B$6)*24</f>
        <v>0</v>
      </c>
      <c r="D6" s="6">
        <v>8.9999999999999993E-3</v>
      </c>
      <c r="E6" s="6">
        <v>8.0000000000000002E-3</v>
      </c>
      <c r="F6" s="6">
        <v>8.9999999999999993E-3</v>
      </c>
      <c r="G6" s="7">
        <v>0</v>
      </c>
    </row>
    <row r="7" spans="1:7" ht="16" x14ac:dyDescent="0.2">
      <c r="B7" s="4">
        <v>42761.474999999999</v>
      </c>
      <c r="C7" s="5">
        <f t="shared" ref="C7:C14" si="0">(B7-$B$6)*24</f>
        <v>2.3999999999650754</v>
      </c>
      <c r="D7" s="6">
        <v>2.1999999999999999E-2</v>
      </c>
      <c r="E7" s="6">
        <v>0.02</v>
      </c>
      <c r="F7" s="6">
        <v>2.1999999999999999E-2</v>
      </c>
      <c r="G7" s="7">
        <v>0</v>
      </c>
    </row>
    <row r="8" spans="1:7" ht="16" x14ac:dyDescent="0.2">
      <c r="B8" s="4">
        <v>42761.53402777778</v>
      </c>
      <c r="C8" s="5">
        <f t="shared" si="0"/>
        <v>3.8166666667093523</v>
      </c>
      <c r="D8" s="6">
        <v>3.6999999999999998E-2</v>
      </c>
      <c r="E8" s="6">
        <v>3.1E-2</v>
      </c>
      <c r="F8" s="6">
        <v>3.6999999999999998E-2</v>
      </c>
      <c r="G8" s="7">
        <v>0</v>
      </c>
    </row>
    <row r="9" spans="1:7" ht="16" x14ac:dyDescent="0.2">
      <c r="B9" s="4">
        <v>42761.626388888886</v>
      </c>
      <c r="C9" s="5">
        <f t="shared" si="0"/>
        <v>6.0333333332673647</v>
      </c>
      <c r="D9" s="10">
        <v>8.2000000000000003E-2</v>
      </c>
      <c r="E9" s="10">
        <v>6.6000000000000003E-2</v>
      </c>
      <c r="F9" s="10">
        <v>8.3000000000000004E-2</v>
      </c>
      <c r="G9" s="11">
        <v>0</v>
      </c>
    </row>
    <row r="10" spans="1:7" ht="16" x14ac:dyDescent="0.2">
      <c r="B10" s="4">
        <v>42761.67291666667</v>
      </c>
      <c r="C10" s="5">
        <f t="shared" si="0"/>
        <v>7.1500000000814907</v>
      </c>
      <c r="D10" s="10">
        <v>0.122</v>
      </c>
      <c r="E10" s="10">
        <v>9.8000000000000004E-2</v>
      </c>
      <c r="F10" s="10">
        <v>0.128</v>
      </c>
      <c r="G10" s="11">
        <v>0</v>
      </c>
    </row>
    <row r="11" spans="1:7" ht="16" x14ac:dyDescent="0.2">
      <c r="B11" s="4">
        <v>42761.710416666669</v>
      </c>
      <c r="C11" s="5">
        <f t="shared" si="0"/>
        <v>8.0500000000465661</v>
      </c>
      <c r="D11" s="10">
        <v>0.16900000000000001</v>
      </c>
      <c r="E11" s="10">
        <v>0.13600000000000001</v>
      </c>
      <c r="F11" s="10">
        <v>0.17599999999999999</v>
      </c>
      <c r="G11" s="11">
        <v>0</v>
      </c>
    </row>
    <row r="12" spans="1:7" ht="16" x14ac:dyDescent="0.2">
      <c r="B12" s="4">
        <v>42761.793749999997</v>
      </c>
      <c r="C12" s="5">
        <f t="shared" si="0"/>
        <v>10.049999999930151</v>
      </c>
      <c r="D12" s="10">
        <f>0.181*2</f>
        <v>0.36199999999999999</v>
      </c>
      <c r="E12" s="10">
        <v>0.27600000000000002</v>
      </c>
      <c r="F12" s="12">
        <f>0.187*2</f>
        <v>0.374</v>
      </c>
      <c r="G12" s="11">
        <v>0</v>
      </c>
    </row>
    <row r="13" spans="1:7" ht="16" x14ac:dyDescent="0.2">
      <c r="B13" s="4">
        <v>42761.872916666667</v>
      </c>
      <c r="C13" s="5">
        <f t="shared" si="0"/>
        <v>11.950000000011642</v>
      </c>
      <c r="D13" s="10">
        <f>0.225*3</f>
        <v>0.67500000000000004</v>
      </c>
      <c r="E13" s="10">
        <f>0.19*3</f>
        <v>0.57000000000000006</v>
      </c>
      <c r="F13" s="12">
        <f>0.24*3</f>
        <v>0.72</v>
      </c>
      <c r="G13" s="11">
        <v>0</v>
      </c>
    </row>
    <row r="14" spans="1:7" ht="16" x14ac:dyDescent="0.2">
      <c r="B14" s="4">
        <v>42761.961805555555</v>
      </c>
      <c r="C14" s="5">
        <f t="shared" si="0"/>
        <v>14.083333333313931</v>
      </c>
      <c r="D14" s="10">
        <f>0.251*4</f>
        <v>1.004</v>
      </c>
      <c r="E14" s="10">
        <f>0.256*4</f>
        <v>1.024</v>
      </c>
      <c r="F14" s="12">
        <f>0.254*4</f>
        <v>1.016</v>
      </c>
      <c r="G14" s="11">
        <v>0</v>
      </c>
    </row>
    <row r="15" spans="1:7" ht="16" x14ac:dyDescent="0.2">
      <c r="B15" s="4"/>
      <c r="C15" s="5"/>
      <c r="D15" s="10"/>
    </row>
    <row r="16" spans="1:7" ht="16" x14ac:dyDescent="0.2">
      <c r="B16" s="4" t="s">
        <v>7</v>
      </c>
      <c r="C16" s="5"/>
      <c r="D16" s="6">
        <v>7.27</v>
      </c>
      <c r="E16" s="6">
        <v>7.27</v>
      </c>
      <c r="F16" s="6">
        <v>7.33</v>
      </c>
      <c r="G16" s="6">
        <v>6.99</v>
      </c>
    </row>
    <row r="17" spans="3:8" x14ac:dyDescent="0.2">
      <c r="G17" t="s">
        <v>8</v>
      </c>
      <c r="H17" t="s">
        <v>9</v>
      </c>
    </row>
    <row r="18" spans="3:8" ht="16" x14ac:dyDescent="0.2">
      <c r="C18" s="2" t="s">
        <v>10</v>
      </c>
      <c r="D18" s="6">
        <f>LN(LOGEST(D9:D12,C9:C12))</f>
        <v>0.37030077996963878</v>
      </c>
      <c r="E18" s="6">
        <f>LN(LOGEST(E10:E13,C10:C13))</f>
        <v>0.36548571672237418</v>
      </c>
      <c r="F18" s="6">
        <f>LN(LOGEST(F9:F12,C9:C12))</f>
        <v>0.37354581770420253</v>
      </c>
      <c r="G18" s="9">
        <f>AVERAGE(D18:F18)</f>
        <v>0.36977743813207181</v>
      </c>
      <c r="H18" s="6">
        <f>STDEV(D18:F18)</f>
        <v>4.0554558274660778E-3</v>
      </c>
    </row>
    <row r="19" spans="3:8" ht="16" x14ac:dyDescent="0.2">
      <c r="C19" s="4" t="s">
        <v>11</v>
      </c>
      <c r="D19" s="6">
        <f>LN(2)/D18</f>
        <v>1.8718490968795067</v>
      </c>
      <c r="E19" s="6">
        <f t="shared" ref="E19:F19" si="1">LN(2)/E18</f>
        <v>1.8965096277249744</v>
      </c>
      <c r="F19" s="6">
        <f t="shared" si="1"/>
        <v>1.8555881171953679</v>
      </c>
      <c r="G19" s="9">
        <f>AVERAGE(D19:F19)</f>
        <v>1.8746489472666166</v>
      </c>
      <c r="H19" s="6">
        <f>STDEV(D19:F19)</f>
        <v>2.0603928694519009E-2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topLeftCell="A10" workbookViewId="0">
      <selection activeCell="J18" sqref="J18"/>
    </sheetView>
  </sheetViews>
  <sheetFormatPr baseColWidth="10" defaultColWidth="8.83203125" defaultRowHeight="15" x14ac:dyDescent="0.2"/>
  <cols>
    <col min="2" max="2" width="13.1640625" bestFit="1" customWidth="1"/>
  </cols>
  <sheetData>
    <row r="3" spans="1:7" x14ac:dyDescent="0.2">
      <c r="A3" s="1" t="s">
        <v>16</v>
      </c>
    </row>
    <row r="4" spans="1:7" x14ac:dyDescent="0.2">
      <c r="A4" t="s">
        <v>17</v>
      </c>
    </row>
    <row r="5" spans="1:7" ht="16" x14ac:dyDescent="0.2">
      <c r="B5" s="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13</v>
      </c>
    </row>
    <row r="6" spans="1:7" ht="16" x14ac:dyDescent="0.2">
      <c r="B6" s="4">
        <v>42775.361111111109</v>
      </c>
      <c r="C6" s="5">
        <f>(B6-$B$6)*24</f>
        <v>0</v>
      </c>
      <c r="D6" s="6">
        <v>7.0000000000000001E-3</v>
      </c>
      <c r="E6" s="6">
        <v>4.0000000000000001E-3</v>
      </c>
      <c r="F6" s="6">
        <v>8.9999999999999993E-3</v>
      </c>
      <c r="G6" s="7">
        <v>-2E-3</v>
      </c>
    </row>
    <row r="7" spans="1:7" ht="16" x14ac:dyDescent="0.2">
      <c r="B7" s="4">
        <v>42775.476388888892</v>
      </c>
      <c r="C7" s="5">
        <f t="shared" ref="C7:C13" si="0">(B7-$B$6)*24</f>
        <v>2.7666666667792015</v>
      </c>
      <c r="D7" s="6">
        <v>2.1000000000000001E-2</v>
      </c>
      <c r="E7" s="6">
        <v>1.4999999999999999E-2</v>
      </c>
      <c r="F7" s="6">
        <v>0.02</v>
      </c>
      <c r="G7" s="7">
        <v>0</v>
      </c>
    </row>
    <row r="8" spans="1:7" ht="16" x14ac:dyDescent="0.2">
      <c r="B8" s="4">
        <v>42775.541666666664</v>
      </c>
      <c r="C8" s="5">
        <f t="shared" si="0"/>
        <v>4.3333333333139308</v>
      </c>
      <c r="D8" s="6">
        <v>3.5999999999999997E-2</v>
      </c>
      <c r="E8" s="6">
        <v>1.9E-2</v>
      </c>
      <c r="F8" s="6">
        <v>0.06</v>
      </c>
      <c r="G8" s="7">
        <v>-2E-3</v>
      </c>
    </row>
    <row r="9" spans="1:7" ht="16" x14ac:dyDescent="0.2">
      <c r="B9" s="4">
        <v>42775.618750000001</v>
      </c>
      <c r="C9" s="5">
        <f t="shared" si="0"/>
        <v>6.183333333407063</v>
      </c>
      <c r="D9" s="10">
        <v>6.9000000000000006E-2</v>
      </c>
      <c r="E9" s="10">
        <v>3.6999999999999998E-2</v>
      </c>
      <c r="F9" s="10">
        <v>6.7000000000000004E-2</v>
      </c>
      <c r="G9" s="11">
        <v>0</v>
      </c>
    </row>
    <row r="10" spans="1:7" ht="16" x14ac:dyDescent="0.2">
      <c r="B10" s="4">
        <v>42775.708333333336</v>
      </c>
      <c r="C10" s="5">
        <f t="shared" si="0"/>
        <v>8.3333333334303461</v>
      </c>
      <c r="D10" s="10">
        <v>0.14099999999999999</v>
      </c>
      <c r="E10" s="10">
        <v>7.1999999999999995E-2</v>
      </c>
      <c r="F10" s="10">
        <v>0.13500000000000001</v>
      </c>
      <c r="G10" s="11">
        <v>-2E-3</v>
      </c>
    </row>
    <row r="11" spans="1:7" ht="16" x14ac:dyDescent="0.2">
      <c r="B11" s="4">
        <v>42775.813888888886</v>
      </c>
      <c r="C11" s="5">
        <f t="shared" si="0"/>
        <v>10.866666666639503</v>
      </c>
      <c r="D11" s="10">
        <f>0.151*2</f>
        <v>0.30199999999999999</v>
      </c>
      <c r="E11" s="10">
        <v>0.17499999999999999</v>
      </c>
      <c r="F11" s="10">
        <v>0.29099999999999998</v>
      </c>
      <c r="G11" s="11">
        <v>0</v>
      </c>
    </row>
    <row r="12" spans="1:7" ht="16" x14ac:dyDescent="0.2">
      <c r="B12" s="4">
        <v>42775.896527777775</v>
      </c>
      <c r="C12" s="5">
        <f t="shared" si="0"/>
        <v>12.849999999976717</v>
      </c>
      <c r="D12" s="10">
        <f>0.154*2</f>
        <v>0.308</v>
      </c>
      <c r="E12" s="10">
        <f>0.156*2</f>
        <v>0.312</v>
      </c>
      <c r="F12" s="12">
        <f>0.154*2</f>
        <v>0.308</v>
      </c>
      <c r="G12" s="11">
        <v>0</v>
      </c>
    </row>
    <row r="13" spans="1:7" ht="16" x14ac:dyDescent="0.2">
      <c r="B13" s="4">
        <v>42775.938194444447</v>
      </c>
      <c r="C13" s="5">
        <f t="shared" si="0"/>
        <v>13.850000000093132</v>
      </c>
      <c r="D13" s="10">
        <f>0.169*2</f>
        <v>0.33800000000000002</v>
      </c>
      <c r="E13" s="10">
        <f>0.152*2</f>
        <v>0.30399999999999999</v>
      </c>
      <c r="F13" s="12">
        <f>0.155*2</f>
        <v>0.31</v>
      </c>
      <c r="G13" s="11">
        <v>0</v>
      </c>
    </row>
    <row r="14" spans="1:7" ht="16" x14ac:dyDescent="0.2">
      <c r="B14" s="4"/>
      <c r="C14" s="5"/>
      <c r="D14" s="10"/>
      <c r="E14" s="10"/>
      <c r="F14" s="12"/>
      <c r="G14" s="11">
        <v>0</v>
      </c>
    </row>
    <row r="15" spans="1:7" ht="16" x14ac:dyDescent="0.2">
      <c r="B15" s="4"/>
      <c r="C15" s="5"/>
      <c r="D15" s="10"/>
    </row>
    <row r="16" spans="1:7" ht="16" x14ac:dyDescent="0.2">
      <c r="B16" s="4" t="s">
        <v>7</v>
      </c>
      <c r="C16" s="5"/>
      <c r="D16" s="6">
        <v>7.11</v>
      </c>
      <c r="E16" s="6">
        <v>7.12</v>
      </c>
      <c r="F16" s="6">
        <v>7.16</v>
      </c>
      <c r="G16" s="6">
        <v>7.04</v>
      </c>
    </row>
    <row r="17" spans="3:8" x14ac:dyDescent="0.2">
      <c r="G17" t="s">
        <v>8</v>
      </c>
      <c r="H17" t="s">
        <v>9</v>
      </c>
    </row>
    <row r="18" spans="3:8" ht="16" x14ac:dyDescent="0.2">
      <c r="C18" s="2" t="s">
        <v>10</v>
      </c>
      <c r="D18" s="6">
        <f>LN(LOGEST(D8:D11,C8:C11))</f>
        <v>0.3254127224034421</v>
      </c>
      <c r="E18" s="6">
        <f>LN(LOGEST(E8:E11,C8:C11))</f>
        <v>0.33683661426944639</v>
      </c>
      <c r="F18" s="6">
        <f>LN(LOGEST(F9:F11,C9:C11))</f>
        <v>0.31328004355885147</v>
      </c>
      <c r="G18" s="9">
        <f>AVERAGE(D18:F18)</f>
        <v>0.32517646007724665</v>
      </c>
      <c r="H18" s="6">
        <f>STDEV(D18:F18)</f>
        <v>1.178006242877766E-2</v>
      </c>
    </row>
    <row r="19" spans="3:8" ht="16" x14ac:dyDescent="0.2">
      <c r="C19" s="4" t="s">
        <v>11</v>
      </c>
      <c r="D19" s="6">
        <f>LN(2)/D18</f>
        <v>2.1300555658687221</v>
      </c>
      <c r="E19" s="6">
        <f t="shared" ref="E19:F19" si="1">LN(2)/E18</f>
        <v>2.0578142375147932</v>
      </c>
      <c r="F19" s="6">
        <f t="shared" si="1"/>
        <v>2.2125481492080219</v>
      </c>
      <c r="G19" s="9">
        <f>AVERAGE(D19:F19)</f>
        <v>2.1334726508638457</v>
      </c>
      <c r="H19" s="6">
        <f>STDEV(D19:F19)</f>
        <v>7.7423531367213541E-2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Aciv vs. Growth Rate</vt:lpstr>
      <vt:lpstr>20gperLNaLactate</vt:lpstr>
      <vt:lpstr>20gperLNaLactate (2)</vt:lpstr>
      <vt:lpstr>8gperLNaLactate</vt:lpstr>
      <vt:lpstr>10gperLNaLactate</vt:lpstr>
      <vt:lpstr>5gperLNaLactate</vt:lpstr>
      <vt:lpstr>3gperLNaLactate</vt:lpstr>
      <vt:lpstr>1gperLNaLactate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Schepens, Diana</dc:creator>
  <cp:lastModifiedBy>Microsoft Office User</cp:lastModifiedBy>
  <dcterms:created xsi:type="dcterms:W3CDTF">2016-09-16T14:31:24Z</dcterms:created>
  <dcterms:modified xsi:type="dcterms:W3CDTF">2018-03-14T21:15:00Z</dcterms:modified>
</cp:coreProperties>
</file>