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6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8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505"/>
  <workbookPr/>
  <mc:AlternateContent xmlns:mc="http://schemas.openxmlformats.org/markup-compatibility/2006">
    <mc:Choice Requires="x15">
      <x15ac:absPath xmlns:x15ac="http://schemas.microsoft.com/office/spreadsheetml/2010/11/ac" url="/Users/schepens/Documents/Grad School/Research/NSF Research/Inhibition/Lab/"/>
    </mc:Choice>
  </mc:AlternateContent>
  <bookViews>
    <workbookView xWindow="820" yWindow="460" windowWidth="25220" windowHeight="15760"/>
  </bookViews>
  <sheets>
    <sheet name="Acid vs Growthrate" sheetId="5" r:id="rId1"/>
    <sheet name="4gperL+glucose" sheetId="8" r:id="rId2"/>
    <sheet name="20gperL+glucose" sheetId="7" r:id="rId3"/>
    <sheet name="10gperL+glucose" sheetId="4" r:id="rId4"/>
    <sheet name="5gperL+glucose" sheetId="3" r:id="rId5"/>
    <sheet name="3gperL+glucose" sheetId="2" r:id="rId6"/>
    <sheet name="1gperL+glucose" sheetId="1" r:id="rId7"/>
    <sheet name="0gperL+glucose" sheetId="6" r:id="rId8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7" l="1"/>
  <c r="E13" i="7"/>
  <c r="D13" i="7"/>
  <c r="F13" i="8"/>
  <c r="E13" i="8"/>
  <c r="D13" i="8"/>
  <c r="C13" i="8"/>
  <c r="C13" i="7"/>
  <c r="F12" i="7"/>
  <c r="E12" i="7"/>
  <c r="D12" i="7"/>
  <c r="F12" i="8"/>
  <c r="E12" i="8"/>
  <c r="D12" i="8"/>
  <c r="C12" i="8"/>
  <c r="D18" i="7"/>
  <c r="F11" i="7"/>
  <c r="E11" i="7"/>
  <c r="D11" i="7"/>
  <c r="F11" i="8"/>
  <c r="E11" i="8"/>
  <c r="D11" i="8"/>
  <c r="C11" i="7"/>
  <c r="F10" i="7"/>
  <c r="F10" i="8"/>
  <c r="E10" i="8"/>
  <c r="D10" i="8"/>
  <c r="F9" i="8"/>
  <c r="E9" i="8"/>
  <c r="D9" i="8"/>
  <c r="C11" i="8"/>
  <c r="C10" i="8"/>
  <c r="C9" i="8"/>
  <c r="C8" i="8"/>
  <c r="D18" i="8"/>
  <c r="C7" i="8"/>
  <c r="C6" i="8"/>
  <c r="E18" i="8"/>
  <c r="E19" i="8"/>
  <c r="F18" i="8"/>
  <c r="F19" i="8"/>
  <c r="D19" i="8"/>
  <c r="C12" i="7"/>
  <c r="D19" i="7"/>
  <c r="C10" i="7"/>
  <c r="C9" i="7"/>
  <c r="C8" i="7"/>
  <c r="C7" i="7"/>
  <c r="C6" i="7"/>
  <c r="G18" i="8"/>
  <c r="H18" i="8"/>
  <c r="H19" i="8"/>
  <c r="G19" i="8"/>
  <c r="F18" i="7"/>
  <c r="F19" i="7"/>
  <c r="E18" i="7"/>
  <c r="E19" i="7"/>
  <c r="F12" i="4"/>
  <c r="E12" i="4"/>
  <c r="D12" i="4"/>
  <c r="F18" i="3"/>
  <c r="E18" i="3"/>
  <c r="D18" i="3"/>
  <c r="F12" i="3"/>
  <c r="E12" i="3"/>
  <c r="D12" i="3"/>
  <c r="F18" i="4"/>
  <c r="E18" i="4"/>
  <c r="D18" i="4"/>
  <c r="F11" i="4"/>
  <c r="E11" i="4"/>
  <c r="D11" i="4"/>
  <c r="F19" i="3"/>
  <c r="F11" i="3"/>
  <c r="E11" i="3"/>
  <c r="D11" i="3"/>
  <c r="F10" i="4"/>
  <c r="E10" i="4"/>
  <c r="D10" i="4"/>
  <c r="F10" i="3"/>
  <c r="E10" i="3"/>
  <c r="D10" i="3"/>
  <c r="D20" i="6"/>
  <c r="D21" i="6"/>
  <c r="F20" i="6"/>
  <c r="F21" i="6"/>
  <c r="E20" i="6"/>
  <c r="E21" i="6"/>
  <c r="H19" i="7"/>
  <c r="G19" i="7"/>
  <c r="H18" i="7"/>
  <c r="G18" i="7"/>
  <c r="H21" i="6"/>
  <c r="G21" i="6"/>
  <c r="G20" i="6"/>
  <c r="H20" i="6"/>
  <c r="C12" i="4"/>
  <c r="C11" i="4"/>
  <c r="C10" i="4"/>
  <c r="C9" i="4"/>
  <c r="C8" i="4"/>
  <c r="C7" i="4"/>
  <c r="C6" i="4"/>
  <c r="C12" i="3"/>
  <c r="C11" i="3"/>
  <c r="C10" i="3"/>
  <c r="C9" i="3"/>
  <c r="C8" i="3"/>
  <c r="C7" i="3"/>
  <c r="C6" i="3"/>
  <c r="E19" i="3"/>
  <c r="F19" i="4"/>
  <c r="E19" i="4"/>
  <c r="D19" i="4"/>
  <c r="D19" i="3"/>
  <c r="F13" i="2"/>
  <c r="E13" i="2"/>
  <c r="D13" i="2"/>
  <c r="E18" i="2"/>
  <c r="F12" i="2"/>
  <c r="E12" i="2"/>
  <c r="D12" i="2"/>
  <c r="F18" i="2"/>
  <c r="D18" i="2"/>
  <c r="F11" i="2"/>
  <c r="E11" i="2"/>
  <c r="D11" i="2"/>
  <c r="C13" i="2"/>
  <c r="C12" i="2"/>
  <c r="C11" i="2"/>
  <c r="C10" i="2"/>
  <c r="C9" i="2"/>
  <c r="C8" i="2"/>
  <c r="C7" i="2"/>
  <c r="C6" i="2"/>
  <c r="G19" i="3"/>
  <c r="G19" i="4"/>
  <c r="H18" i="4"/>
  <c r="G18" i="4"/>
  <c r="H19" i="4"/>
  <c r="H19" i="3"/>
  <c r="G18" i="3"/>
  <c r="H18" i="3"/>
  <c r="D19" i="2"/>
  <c r="E19" i="2"/>
  <c r="F19" i="2"/>
  <c r="E18" i="1"/>
  <c r="D18" i="1"/>
  <c r="F13" i="1"/>
  <c r="E13" i="1"/>
  <c r="D13" i="1"/>
  <c r="F12" i="1"/>
  <c r="E12" i="1"/>
  <c r="D12" i="1"/>
  <c r="F18" i="1"/>
  <c r="F19" i="1"/>
  <c r="E19" i="1"/>
  <c r="D19" i="1"/>
  <c r="F11" i="1"/>
  <c r="E11" i="1"/>
  <c r="D11" i="1"/>
  <c r="C7" i="1"/>
  <c r="C8" i="1"/>
  <c r="C9" i="1"/>
  <c r="C10" i="1"/>
  <c r="C11" i="1"/>
  <c r="C12" i="1"/>
  <c r="C13" i="1"/>
  <c r="C6" i="1"/>
  <c r="H19" i="2"/>
  <c r="G19" i="2"/>
  <c r="H18" i="2"/>
  <c r="G18" i="2"/>
  <c r="G18" i="1"/>
  <c r="H18" i="1"/>
  <c r="G19" i="1"/>
  <c r="H19" i="1"/>
</calcChain>
</file>

<file path=xl/sharedStrings.xml><?xml version="1.0" encoding="utf-8"?>
<sst xmlns="http://schemas.openxmlformats.org/spreadsheetml/2006/main" count="94" uniqueCount="28">
  <si>
    <t>Time</t>
  </si>
  <si>
    <t>Hours</t>
  </si>
  <si>
    <t>A</t>
  </si>
  <si>
    <t>B</t>
  </si>
  <si>
    <t>C</t>
  </si>
  <si>
    <t>Control</t>
  </si>
  <si>
    <t>Final pH</t>
  </si>
  <si>
    <t>Diana Schepens COB311</t>
  </si>
  <si>
    <t>Media: 1X M9 + 10 g/l Glucose + 1g/L NaLactate</t>
  </si>
  <si>
    <t>Starting pH: 6.99</t>
  </si>
  <si>
    <t>µ (hr-1)</t>
  </si>
  <si>
    <t>Time (hr)</t>
  </si>
  <si>
    <t>Average:</t>
  </si>
  <si>
    <t>StDev</t>
  </si>
  <si>
    <t>Media: 1X M9 + 10 g/l Glucose + 3g/L NaLactate</t>
  </si>
  <si>
    <t>Starting pH: 7.03</t>
  </si>
  <si>
    <t>Media: 1X M9 + 10 g/l Glucose + 5g/L NaLactate</t>
  </si>
  <si>
    <t>Media: 1X M9 + 10 g/l Glucose + 10g/L NaLactate</t>
  </si>
  <si>
    <t>Starting pH: 7.01</t>
  </si>
  <si>
    <t>Starting pH: 7</t>
  </si>
  <si>
    <t>Media: 1X M9 + 10 g/l Glucose + 0g/L NaLactate</t>
  </si>
  <si>
    <t>Average Growth Rate</t>
  </si>
  <si>
    <t>NaLactate g/L</t>
  </si>
  <si>
    <t>With 10 g/L Glucose</t>
  </si>
  <si>
    <t>Media: 1X M9 + 10 g/l Glucose + 20g/L NaLactate</t>
  </si>
  <si>
    <t>Starting pH: 6.98</t>
  </si>
  <si>
    <t>Media: 1X M9 + 10 g/l Glucose + 4g/L NaLactate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</si>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</sst>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\ h:mm;@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left"/>
    </xf>
    <xf numFmtId="2" fontId="1" fillId="0" borderId="0" xfId="1" applyNumberFormat="1" applyAlignment="1">
      <alignment horizontal="left"/>
    </xf>
    <xf numFmtId="0" fontId="1" fillId="0" borderId="0" xfId="1" applyNumberFormat="1"/>
    <xf numFmtId="0" fontId="1" fillId="0" borderId="0" xfId="1"/>
    <xf numFmtId="0" fontId="5" fillId="0" borderId="0" xfId="2" applyFont="1" applyBorder="1"/>
    <xf numFmtId="0" fontId="6" fillId="0" borderId="0" xfId="2" applyFont="1" applyBorder="1"/>
    <xf numFmtId="0" fontId="1" fillId="0" borderId="0" xfId="1"/>
    <xf numFmtId="0" fontId="1" fillId="0" borderId="0" xfId="1" applyAlignment="1">
      <alignment horizontal="left"/>
    </xf>
    <xf numFmtId="164" fontId="1" fillId="0" borderId="0" xfId="1" applyNumberFormat="1" applyAlignment="1">
      <alignment horizontal="left"/>
    </xf>
    <xf numFmtId="0" fontId="4" fillId="0" borderId="0" xfId="1" applyFont="1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left"/>
    </xf>
    <xf numFmtId="2" fontId="1" fillId="0" borderId="0" xfId="1" applyNumberFormat="1" applyAlignment="1">
      <alignment horizontal="left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10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/Relationships>
</file>

<file path=xl/charts/_rels/chart11.xml.rels><?xml version="1.0" encoding="UTF-8" standalone="yes"?>
<Relationships xmlns="http://schemas.openxmlformats.org/package/2006/relationships"><Relationship Id="rId1" Type="http://schemas.microsoft.com/office/2011/relationships/chartStyle" Target="style11.xml"/><Relationship Id="rId2" Type="http://schemas.microsoft.com/office/2011/relationships/chartColorStyle" Target="colors11.xml"/></Relationships>
</file>

<file path=xl/charts/_rels/chart12.xml.rels><?xml version="1.0" encoding="UTF-8" standalone="yes"?>
<Relationships xmlns="http://schemas.openxmlformats.org/package/2006/relationships"><Relationship Id="rId1" Type="http://schemas.microsoft.com/office/2011/relationships/chartStyle" Target="style12.xml"/><Relationship Id="rId2" Type="http://schemas.microsoft.com/office/2011/relationships/chartColorStyle" Target="colors12.xml"/></Relationships>
</file>

<file path=xl/charts/_rels/chart13.xml.rels><?xml version="1.0" encoding="UTF-8" standalone="yes"?>
<Relationships xmlns="http://schemas.openxmlformats.org/package/2006/relationships"><Relationship Id="rId1" Type="http://schemas.microsoft.com/office/2011/relationships/chartStyle" Target="style13.xml"/><Relationship Id="rId2" Type="http://schemas.microsoft.com/office/2011/relationships/chartColorStyle" Target="colors13.xml"/></Relationships>
</file>

<file path=xl/charts/_rels/chart14.xml.rels><?xml version="1.0" encoding="UTF-8" standalone="yes"?>
<Relationships xmlns="http://schemas.openxmlformats.org/package/2006/relationships"><Relationship Id="rId1" Type="http://schemas.microsoft.com/office/2011/relationships/chartStyle" Target="style14.xml"/><Relationship Id="rId2" Type="http://schemas.microsoft.com/office/2011/relationships/chartColorStyle" Target="colors14.xml"/></Relationships>
</file>

<file path=xl/charts/_rels/chart15.xml.rels><?xml version="1.0" encoding="UTF-8" standalone="yes"?>
<Relationships xmlns="http://schemas.openxmlformats.org/package/2006/relationships"><Relationship Id="rId1" Type="http://schemas.microsoft.com/office/2011/relationships/chartStyle" Target="style15.xml"/><Relationship Id="rId2" Type="http://schemas.microsoft.com/office/2011/relationships/chartColorStyle" Target="colors15.xml"/></Relationships>
</file>

<file path=xl/charts/_rels/chart16.xml.rels><?xml version="1.0" encoding="UTF-8" standalone="yes"?>
<Relationships xmlns="http://schemas.openxmlformats.org/package/2006/relationships"><Relationship Id="rId1" Type="http://schemas.microsoft.com/office/2011/relationships/chartStyle" Target="style16.xml"/><Relationship Id="rId2" Type="http://schemas.microsoft.com/office/2011/relationships/chartColorStyle" Target="colors16.xml"/></Relationships>
</file>

<file path=xl/charts/_rels/chart17.xml.rels><?xml version="1.0" encoding="UTF-8" standalone="yes"?>
<Relationships xmlns="http://schemas.openxmlformats.org/package/2006/relationships"><Relationship Id="rId1" Type="http://schemas.microsoft.com/office/2011/relationships/chartStyle" Target="style17.xml"/><Relationship Id="rId2" Type="http://schemas.microsoft.com/office/2011/relationships/chartColorStyle" Target="colors17.xml"/></Relationships>
</file>

<file path=xl/charts/_rels/chart18.xml.rels><?xml version="1.0" encoding="UTF-8" standalone="yes"?>
<Relationships xmlns="http://schemas.openxmlformats.org/package/2006/relationships"><Relationship Id="rId1" Type="http://schemas.microsoft.com/office/2011/relationships/chartStyle" Target="style18.xml"/><Relationship Id="rId2" Type="http://schemas.microsoft.com/office/2011/relationships/chartColorStyle" Target="colors18.xml"/></Relationships>
</file>

<file path=xl/charts/_rels/chart19.xml.rels><?xml version="1.0" encoding="UTF-8" standalone="yes"?>
<Relationships xmlns="http://schemas.openxmlformats.org/package/2006/relationships"><Relationship Id="rId1" Type="http://schemas.microsoft.com/office/2011/relationships/chartStyle" Target="style19.xml"/><Relationship Id="rId2" Type="http://schemas.microsoft.com/office/2011/relationships/chartColorStyle" Target="colors19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20.xml.rels><?xml version="1.0" encoding="UTF-8" standalone="yes"?>
<Relationships xmlns="http://schemas.openxmlformats.org/package/2006/relationships"><Relationship Id="rId1" Type="http://schemas.microsoft.com/office/2011/relationships/chartStyle" Target="style20.xml"/><Relationship Id="rId2" Type="http://schemas.microsoft.com/office/2011/relationships/chartColorStyle" Target="colors20.xml"/></Relationships>
</file>

<file path=xl/charts/_rels/chart21.xml.rels><?xml version="1.0" encoding="UTF-8" standalone="yes"?>
<Relationships xmlns="http://schemas.openxmlformats.org/package/2006/relationships"><Relationship Id="rId1" Type="http://schemas.microsoft.com/office/2011/relationships/chartStyle" Target="style21.xml"/><Relationship Id="rId2" Type="http://schemas.microsoft.com/office/2011/relationships/chartColorStyle" Target="colors21.xml"/></Relationships>
</file>

<file path=xl/charts/_rels/chart22.xml.rels><?xml version="1.0" encoding="UTF-8" standalone="yes"?>
<Relationships xmlns="http://schemas.openxmlformats.org/package/2006/relationships"><Relationship Id="rId1" Type="http://schemas.microsoft.com/office/2011/relationships/chartStyle" Target="style22.xml"/><Relationship Id="rId2" Type="http://schemas.microsoft.com/office/2011/relationships/chartColorStyle" Target="colors22.xml"/></Relationships>
</file>

<file path=xl/charts/_rels/chart23.xml.rels><?xml version="1.0" encoding="UTF-8" standalone="yes"?>
<Relationships xmlns="http://schemas.openxmlformats.org/package/2006/relationships"><Relationship Id="rId1" Type="http://schemas.microsoft.com/office/2011/relationships/chartStyle" Target="style23.xml"/><Relationship Id="rId2" Type="http://schemas.microsoft.com/office/2011/relationships/chartColorStyle" Target="colors23.xml"/></Relationships>
</file>

<file path=xl/charts/_rels/chart24.xml.rels><?xml version="1.0" encoding="UTF-8" standalone="yes"?>
<Relationships xmlns="http://schemas.openxmlformats.org/package/2006/relationships"><Relationship Id="rId1" Type="http://schemas.microsoft.com/office/2011/relationships/chartStyle" Target="style24.xml"/><Relationship Id="rId2" Type="http://schemas.microsoft.com/office/2011/relationships/chartColorStyle" Target="colors24.xml"/></Relationships>
</file>

<file path=xl/charts/_rels/chart25.xml.rels><?xml version="1.0" encoding="UTF-8" standalone="yes"?>
<Relationships xmlns="http://schemas.openxmlformats.org/package/2006/relationships"><Relationship Id="rId1" Type="http://schemas.microsoft.com/office/2011/relationships/chartStyle" Target="style25.xml"/><Relationship Id="rId2" Type="http://schemas.microsoft.com/office/2011/relationships/chartColorStyle" Target="colors25.xml"/></Relationships>
</file>

<file path=xl/charts/_rels/chart26.xml.rels><?xml version="1.0" encoding="UTF-8" standalone="yes"?>
<Relationships xmlns="http://schemas.openxmlformats.org/package/2006/relationships"><Relationship Id="rId1" Type="http://schemas.microsoft.com/office/2011/relationships/chartStyle" Target="style26.xml"/><Relationship Id="rId2" Type="http://schemas.microsoft.com/office/2011/relationships/chartColorStyle" Target="colors26.xml"/></Relationships>
</file>

<file path=xl/charts/_rels/chart27.xml.rels><?xml version="1.0" encoding="UTF-8" standalone="yes"?>
<Relationships xmlns="http://schemas.openxmlformats.org/package/2006/relationships"><Relationship Id="rId1" Type="http://schemas.microsoft.com/office/2011/relationships/chartStyle" Target="style27.xml"/><Relationship Id="rId2" Type="http://schemas.microsoft.com/office/2011/relationships/chartColorStyle" Target="colors27.xml"/></Relationships>
</file>

<file path=xl/charts/_rels/chart28.xml.rels><?xml version="1.0" encoding="UTF-8" standalone="yes"?>
<Relationships xmlns="http://schemas.openxmlformats.org/package/2006/relationships"><Relationship Id="rId1" Type="http://schemas.microsoft.com/office/2011/relationships/chartStyle" Target="style28.xml"/><Relationship Id="rId2" Type="http://schemas.microsoft.com/office/2011/relationships/chartColorStyle" Target="colors28.xml"/></Relationships>
</file>

<file path=xl/charts/_rels/chart29.xml.rels><?xml version="1.0" encoding="UTF-8" standalone="yes"?>
<Relationships xmlns="http://schemas.openxmlformats.org/package/2006/relationships"><Relationship Id="rId1" Type="http://schemas.microsoft.com/office/2011/relationships/chartStyle" Target="style29.xml"/><Relationship Id="rId2" Type="http://schemas.microsoft.com/office/2011/relationships/chartColorStyle" Target="colors29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30.xml.rels><?xml version="1.0" encoding="UTF-8" standalone="yes"?>
<Relationships xmlns="http://schemas.openxmlformats.org/package/2006/relationships"><Relationship Id="rId1" Type="http://schemas.microsoft.com/office/2011/relationships/chartStyle" Target="style30.xml"/><Relationship Id="rId2" Type="http://schemas.microsoft.com/office/2011/relationships/chartColorStyle" Target="colors30.xml"/></Relationships>
</file>

<file path=xl/charts/_rels/chart31.xml.rels><?xml version="1.0" encoding="UTF-8" standalone="yes"?>
<Relationships xmlns="http://schemas.openxmlformats.org/package/2006/relationships"><Relationship Id="rId1" Type="http://schemas.microsoft.com/office/2011/relationships/chartStyle" Target="style31.xml"/><Relationship Id="rId2" Type="http://schemas.microsoft.com/office/2011/relationships/chartColorStyle" Target="colors31.xml"/></Relationships>
</file>

<file path=xl/charts/_rels/chart32.xml.rels><?xml version="1.0" encoding="UTF-8" standalone="yes"?>
<Relationships xmlns="http://schemas.openxmlformats.org/package/2006/relationships"><Relationship Id="rId1" Type="http://schemas.microsoft.com/office/2011/relationships/chartStyle" Target="style32.xml"/><Relationship Id="rId2" Type="http://schemas.microsoft.com/office/2011/relationships/chartColorStyle" Target="colors32.xml"/></Relationships>
</file>

<file path=xl/charts/_rels/chart33.xml.rels><?xml version="1.0" encoding="UTF-8" standalone="yes"?>
<Relationships xmlns="http://schemas.openxmlformats.org/package/2006/relationships"><Relationship Id="rId1" Type="http://schemas.microsoft.com/office/2011/relationships/chartStyle" Target="style33.xml"/><Relationship Id="rId2" Type="http://schemas.microsoft.com/office/2011/relationships/chartColorStyle" Target="colors33.xml"/></Relationships>
</file>

<file path=xl/charts/_rels/chart34.xml.rels><?xml version="1.0" encoding="UTF-8" standalone="yes"?>
<Relationships xmlns="http://schemas.openxmlformats.org/package/2006/relationships"><Relationship Id="rId1" Type="http://schemas.microsoft.com/office/2011/relationships/chartStyle" Target="style34.xml"/><Relationship Id="rId2" Type="http://schemas.microsoft.com/office/2011/relationships/chartColorStyle" Target="colors34.xml"/></Relationships>
</file>

<file path=xl/charts/_rels/chart35.xml.rels><?xml version="1.0" encoding="UTF-8" standalone="yes"?>
<Relationships xmlns="http://schemas.openxmlformats.org/package/2006/relationships"><Relationship Id="rId1" Type="http://schemas.microsoft.com/office/2011/relationships/chartStyle" Target="style35.xml"/><Relationship Id="rId2" Type="http://schemas.microsoft.com/office/2011/relationships/chartColorStyle" Target="colors35.xml"/></Relationships>
</file>

<file path=xl/charts/_rels/chart36.xml.rels><?xml version="1.0" encoding="UTF-8" standalone="yes"?>
<Relationships xmlns="http://schemas.openxmlformats.org/package/2006/relationships"><Relationship Id="rId1" Type="http://schemas.microsoft.com/office/2011/relationships/chartStyle" Target="style36.xml"/><Relationship Id="rId2" Type="http://schemas.microsoft.com/office/2011/relationships/chartColorStyle" Target="colors36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_rels/chart9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Product Inhibition Curve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'Acid vs Growthrate'!$D$4:$D$10</c:f>
                <c:numCache>
                  <c:formatCode>General</c:formatCode>
                  <c:ptCount val="7"/>
                  <c:pt idx="0">
                    <c:v>0.01375</c:v>
                  </c:pt>
                  <c:pt idx="1">
                    <c:v>0.00881</c:v>
                  </c:pt>
                  <c:pt idx="2">
                    <c:v>0.01617</c:v>
                  </c:pt>
                  <c:pt idx="3">
                    <c:v>0.01583</c:v>
                  </c:pt>
                  <c:pt idx="4">
                    <c:v>0.00937</c:v>
                  </c:pt>
                  <c:pt idx="5">
                    <c:v>0.00535</c:v>
                  </c:pt>
                  <c:pt idx="6">
                    <c:v>0.00926</c:v>
                  </c:pt>
                </c:numCache>
              </c:numRef>
            </c:plus>
            <c:minus>
              <c:numRef>
                <c:f>'Acid vs Growthrate'!$D$4:$D$10</c:f>
                <c:numCache>
                  <c:formatCode>General</c:formatCode>
                  <c:ptCount val="7"/>
                  <c:pt idx="0">
                    <c:v>0.01375</c:v>
                  </c:pt>
                  <c:pt idx="1">
                    <c:v>0.00881</c:v>
                  </c:pt>
                  <c:pt idx="2">
                    <c:v>0.01617</c:v>
                  </c:pt>
                  <c:pt idx="3">
                    <c:v>0.01583</c:v>
                  </c:pt>
                  <c:pt idx="4">
                    <c:v>0.00937</c:v>
                  </c:pt>
                  <c:pt idx="5">
                    <c:v>0.00535</c:v>
                  </c:pt>
                  <c:pt idx="6">
                    <c:v>0.00926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'Acid vs Growthrate'!$B$4:$B$10</c:f>
              <c:numCache>
                <c:formatCode>General</c:formatCode>
                <c:ptCount val="7"/>
                <c:pt idx="0">
                  <c:v>0.0</c:v>
                </c:pt>
                <c:pt idx="1">
                  <c:v>1.0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10.0</c:v>
                </c:pt>
                <c:pt idx="6">
                  <c:v>20.0</c:v>
                </c:pt>
              </c:numCache>
            </c:numRef>
          </c:xVal>
          <c:yVal>
            <c:numRef>
              <c:f>'Acid vs Growthrate'!$C$4:$C$10</c:f>
              <c:numCache>
                <c:formatCode>General</c:formatCode>
                <c:ptCount val="7"/>
                <c:pt idx="0">
                  <c:v>0.68057</c:v>
                </c:pt>
                <c:pt idx="1">
                  <c:v>0.70033</c:v>
                </c:pt>
                <c:pt idx="2">
                  <c:v>0.73172</c:v>
                </c:pt>
                <c:pt idx="3">
                  <c:v>0.71226</c:v>
                </c:pt>
                <c:pt idx="4">
                  <c:v>0.73253</c:v>
                </c:pt>
                <c:pt idx="5">
                  <c:v>0.71434</c:v>
                </c:pt>
                <c:pt idx="6">
                  <c:v>0.59592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079-43AC-A68A-114D5B8B3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48611696"/>
        <c:axId val="-2048621936"/>
      </c:scatterChart>
      <c:valAx>
        <c:axId val="-204861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NaLactate 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8621936"/>
        <c:crosses val="autoZero"/>
        <c:crossBetween val="midCat"/>
      </c:valAx>
      <c:valAx>
        <c:axId val="-2048621936"/>
        <c:scaling>
          <c:orientation val="minMax"/>
          <c:min val="0.5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Avg.</a:t>
                </a:r>
                <a:r>
                  <a:rPr lang="en-US" baseline="0"/>
                  <a:t> </a:t>
                </a:r>
                <a:r>
                  <a:rPr lang="en-US"/>
                  <a:t>Growth</a:t>
                </a:r>
                <a:r>
                  <a:rPr lang="en-US" baseline="0"/>
                  <a:t> Rate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8611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41023821750542"/>
                  <c:y val="-0.3598695751421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'20gperL+glucose'!$C$8:$C$11</c:f>
              <c:numCache>
                <c:formatCode>0.00</c:formatCode>
                <c:ptCount val="4"/>
                <c:pt idx="0">
                  <c:v>4.733333333220798</c:v>
                </c:pt>
                <c:pt idx="1">
                  <c:v>5.666666666627861</c:v>
                </c:pt>
                <c:pt idx="2">
                  <c:v>6.666666666569654</c:v>
                </c:pt>
                <c:pt idx="3">
                  <c:v>7.883333333360497</c:v>
                </c:pt>
              </c:numCache>
            </c:numRef>
          </c:xVal>
          <c:yVal>
            <c:numRef>
              <c:f>'20gperL+glucose'!$F$8:$F$11</c:f>
              <c:numCache>
                <c:formatCode>General</c:formatCode>
                <c:ptCount val="4"/>
                <c:pt idx="0">
                  <c:v>0.129</c:v>
                </c:pt>
                <c:pt idx="1">
                  <c:v>0.226</c:v>
                </c:pt>
                <c:pt idx="2">
                  <c:v>0.422</c:v>
                </c:pt>
                <c:pt idx="3">
                  <c:v>0.848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D50-4B10-9D05-E7D52C681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7029040"/>
        <c:axId val="2097035040"/>
      </c:scatterChart>
      <c:valAx>
        <c:axId val="2097029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7035040"/>
        <c:crosses val="autoZero"/>
        <c:crossBetween val="midCat"/>
      </c:valAx>
      <c:valAx>
        <c:axId val="2097035040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7029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1XM9+10g/L</a:t>
            </a:r>
            <a:r>
              <a:rPr lang="en-US" baseline="0"/>
              <a:t> Glucose + 20g/L NaLactate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'20gperL+glucose'!$C$6:$C$12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3.616666666581295</c:v>
                </c:pt>
                <c:pt idx="2">
                  <c:v>4.733333333220798</c:v>
                </c:pt>
                <c:pt idx="3">
                  <c:v>5.666666666627861</c:v>
                </c:pt>
                <c:pt idx="4">
                  <c:v>6.666666666569654</c:v>
                </c:pt>
                <c:pt idx="5">
                  <c:v>7.883333333360497</c:v>
                </c:pt>
                <c:pt idx="6">
                  <c:v>8.649999999906867</c:v>
                </c:pt>
              </c:numCache>
            </c:numRef>
          </c:xVal>
          <c:yVal>
            <c:numRef>
              <c:f>'20gperL+glucose'!$D$6:$D$12</c:f>
              <c:numCache>
                <c:formatCode>General</c:formatCode>
                <c:ptCount val="7"/>
                <c:pt idx="0">
                  <c:v>0.005</c:v>
                </c:pt>
                <c:pt idx="1">
                  <c:v>0.036</c:v>
                </c:pt>
                <c:pt idx="2">
                  <c:v>0.068</c:v>
                </c:pt>
                <c:pt idx="3">
                  <c:v>0.117</c:v>
                </c:pt>
                <c:pt idx="4">
                  <c:v>0.212</c:v>
                </c:pt>
                <c:pt idx="5">
                  <c:v>0.454</c:v>
                </c:pt>
                <c:pt idx="6">
                  <c:v>0.684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F3E-4823-962E-83AA042F4236}"/>
            </c:ext>
          </c:extLst>
        </c:ser>
        <c:ser>
          <c:idx val="1"/>
          <c:order val="1"/>
          <c:tx>
            <c:strRef>
              <c:f>'20gperL+glucose'!$E$5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3.616666666581295</c:v>
                </c:pt>
                <c:pt idx="2">
                  <c:v>4.733333333220798</c:v>
                </c:pt>
                <c:pt idx="3">
                  <c:v>5.666666666627861</c:v>
                </c:pt>
                <c:pt idx="4">
                  <c:v>6.666666666569654</c:v>
                </c:pt>
                <c:pt idx="5">
                  <c:v>7.883333333360497</c:v>
                </c:pt>
                <c:pt idx="6">
                  <c:v>8.649999999906867</c:v>
                </c:pt>
              </c:numCache>
            </c:numRef>
          </c:xVal>
          <c:yVal>
            <c:numRef>
              <c:f>'20gperL+glucose'!$E$6:$E$12</c:f>
              <c:numCache>
                <c:formatCode>General</c:formatCode>
                <c:ptCount val="7"/>
                <c:pt idx="0">
                  <c:v>0.007</c:v>
                </c:pt>
                <c:pt idx="1">
                  <c:v>0.023</c:v>
                </c:pt>
                <c:pt idx="2">
                  <c:v>0.042</c:v>
                </c:pt>
                <c:pt idx="3">
                  <c:v>0.072</c:v>
                </c:pt>
                <c:pt idx="4">
                  <c:v>0.128</c:v>
                </c:pt>
                <c:pt idx="5">
                  <c:v>0.266</c:v>
                </c:pt>
                <c:pt idx="6">
                  <c:v>0.408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F3E-4823-962E-83AA042F4236}"/>
            </c:ext>
          </c:extLst>
        </c:ser>
        <c:ser>
          <c:idx val="2"/>
          <c:order val="2"/>
          <c:tx>
            <c:strRef>
              <c:f>'20gperL+glucose'!$F$5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'20gperL+glucose'!$C$6:$C$12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3.616666666581295</c:v>
                </c:pt>
                <c:pt idx="2">
                  <c:v>4.733333333220798</c:v>
                </c:pt>
                <c:pt idx="3">
                  <c:v>5.666666666627861</c:v>
                </c:pt>
                <c:pt idx="4">
                  <c:v>6.666666666569654</c:v>
                </c:pt>
                <c:pt idx="5">
                  <c:v>7.883333333360497</c:v>
                </c:pt>
                <c:pt idx="6">
                  <c:v>8.649999999906867</c:v>
                </c:pt>
              </c:numCache>
            </c:numRef>
          </c:xVal>
          <c:yVal>
            <c:numRef>
              <c:f>'20gperL+glucose'!$F$6:$F$12</c:f>
              <c:numCache>
                <c:formatCode>General</c:formatCode>
                <c:ptCount val="7"/>
                <c:pt idx="0">
                  <c:v>0.009</c:v>
                </c:pt>
                <c:pt idx="1">
                  <c:v>0.068</c:v>
                </c:pt>
                <c:pt idx="2">
                  <c:v>0.129</c:v>
                </c:pt>
                <c:pt idx="3">
                  <c:v>0.226</c:v>
                </c:pt>
                <c:pt idx="4">
                  <c:v>0.422</c:v>
                </c:pt>
                <c:pt idx="5">
                  <c:v>0.848</c:v>
                </c:pt>
                <c:pt idx="6">
                  <c:v>1.35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F3E-4823-962E-83AA042F4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5186160"/>
        <c:axId val="-2115180160"/>
      </c:scatterChart>
      <c:valAx>
        <c:axId val="-2115186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5180160"/>
        <c:crosses val="autoZero"/>
        <c:crossBetween val="midCat"/>
      </c:valAx>
      <c:valAx>
        <c:axId val="-2115180160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5186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</a:t>
            </a:r>
            <a:r>
              <a:rPr lang="en-US" baseline="0"/>
              <a:t> + 10g/L Glucose + 10g/L NaLactate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'10gperL+glucose'!$D$5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'10gperL+glucose'!$C$6:$C$12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2.016666666604578</c:v>
                </c:pt>
                <c:pt idx="2">
                  <c:v>3.733333333279006</c:v>
                </c:pt>
                <c:pt idx="3">
                  <c:v>4.749999999941792</c:v>
                </c:pt>
                <c:pt idx="4">
                  <c:v>5.666666666627861</c:v>
                </c:pt>
                <c:pt idx="5">
                  <c:v>6.483333333337214</c:v>
                </c:pt>
                <c:pt idx="6">
                  <c:v>7.38333333330229</c:v>
                </c:pt>
              </c:numCache>
            </c:numRef>
          </c:xVal>
          <c:yVal>
            <c:numRef>
              <c:f>'10gperL+glucose'!$D$6:$D$12</c:f>
              <c:numCache>
                <c:formatCode>General</c:formatCode>
                <c:ptCount val="7"/>
                <c:pt idx="0">
                  <c:v>0.01</c:v>
                </c:pt>
                <c:pt idx="1">
                  <c:v>0.03</c:v>
                </c:pt>
                <c:pt idx="2">
                  <c:v>0.098</c:v>
                </c:pt>
                <c:pt idx="3">
                  <c:v>0.202</c:v>
                </c:pt>
                <c:pt idx="4">
                  <c:v>0.398</c:v>
                </c:pt>
                <c:pt idx="5">
                  <c:v>0.702</c:v>
                </c:pt>
                <c:pt idx="6">
                  <c:v>1.195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A9E-4633-AE15-845C7411429F}"/>
            </c:ext>
          </c:extLst>
        </c:ser>
        <c:ser>
          <c:idx val="1"/>
          <c:order val="1"/>
          <c:tx>
            <c:strRef>
              <c:f>'10gperL+glucose'!$E$5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'10gperL+glucose'!$C$6:$C$12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2.016666666604578</c:v>
                </c:pt>
                <c:pt idx="2">
                  <c:v>3.733333333279006</c:v>
                </c:pt>
                <c:pt idx="3">
                  <c:v>4.749999999941792</c:v>
                </c:pt>
                <c:pt idx="4">
                  <c:v>5.666666666627861</c:v>
                </c:pt>
                <c:pt idx="5">
                  <c:v>6.483333333337214</c:v>
                </c:pt>
                <c:pt idx="6">
                  <c:v>7.38333333330229</c:v>
                </c:pt>
              </c:numCache>
            </c:numRef>
          </c:xVal>
          <c:yVal>
            <c:numRef>
              <c:f>'10gperL+glucose'!$E$6:$E$12</c:f>
              <c:numCache>
                <c:formatCode>General</c:formatCode>
                <c:ptCount val="7"/>
                <c:pt idx="0">
                  <c:v>0.009</c:v>
                </c:pt>
                <c:pt idx="1">
                  <c:v>0.027</c:v>
                </c:pt>
                <c:pt idx="2">
                  <c:v>0.084</c:v>
                </c:pt>
                <c:pt idx="3">
                  <c:v>0.171</c:v>
                </c:pt>
                <c:pt idx="4">
                  <c:v>0.334</c:v>
                </c:pt>
                <c:pt idx="5">
                  <c:v>0.585</c:v>
                </c:pt>
                <c:pt idx="6">
                  <c:v>1.035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A9E-4633-AE15-845C7411429F}"/>
            </c:ext>
          </c:extLst>
        </c:ser>
        <c:ser>
          <c:idx val="2"/>
          <c:order val="2"/>
          <c:tx>
            <c:strRef>
              <c:f>'10gperL+glucose'!$F$5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'10gperL+glucose'!$C$6:$C$12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2.016666666604578</c:v>
                </c:pt>
                <c:pt idx="2">
                  <c:v>3.733333333279006</c:v>
                </c:pt>
                <c:pt idx="3">
                  <c:v>4.749999999941792</c:v>
                </c:pt>
                <c:pt idx="4">
                  <c:v>5.666666666627861</c:v>
                </c:pt>
                <c:pt idx="5">
                  <c:v>6.483333333337214</c:v>
                </c:pt>
                <c:pt idx="6">
                  <c:v>7.38333333330229</c:v>
                </c:pt>
              </c:numCache>
            </c:numRef>
          </c:xVal>
          <c:yVal>
            <c:numRef>
              <c:f>'10gperL+glucose'!$F$6:$F$12</c:f>
              <c:numCache>
                <c:formatCode>General</c:formatCode>
                <c:ptCount val="7"/>
                <c:pt idx="0">
                  <c:v>0.01</c:v>
                </c:pt>
                <c:pt idx="1">
                  <c:v>0.029</c:v>
                </c:pt>
                <c:pt idx="2">
                  <c:v>0.095</c:v>
                </c:pt>
                <c:pt idx="3">
                  <c:v>0.197</c:v>
                </c:pt>
                <c:pt idx="4">
                  <c:v>0.384</c:v>
                </c:pt>
                <c:pt idx="5">
                  <c:v>0.678</c:v>
                </c:pt>
                <c:pt idx="6">
                  <c:v>1.18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A9E-4633-AE15-845C7411429F}"/>
            </c:ext>
          </c:extLst>
        </c:ser>
        <c:ser>
          <c:idx val="3"/>
          <c:order val="3"/>
          <c:tx>
            <c:strRef>
              <c:f>'10gperL+glucose'!$G$5</c:f>
              <c:strCache>
                <c:ptCount val="1"/>
                <c:pt idx="0">
                  <c:v>Control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'10gperL+glucose'!$C$6:$C$12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2.016666666604578</c:v>
                </c:pt>
                <c:pt idx="2">
                  <c:v>3.733333333279006</c:v>
                </c:pt>
                <c:pt idx="3">
                  <c:v>4.749999999941792</c:v>
                </c:pt>
                <c:pt idx="4">
                  <c:v>5.666666666627861</c:v>
                </c:pt>
                <c:pt idx="5">
                  <c:v>6.483333333337214</c:v>
                </c:pt>
                <c:pt idx="6">
                  <c:v>7.38333333330229</c:v>
                </c:pt>
              </c:numCache>
            </c:numRef>
          </c:xVal>
          <c:yVal>
            <c:numRef>
              <c:f>'10gperL+glucose'!$G$6:$G$12</c:f>
              <c:numCache>
                <c:formatCode>General</c:formatCode>
                <c:ptCount val="7"/>
                <c:pt idx="0">
                  <c:v>0.001</c:v>
                </c:pt>
                <c:pt idx="1">
                  <c:v>0.001</c:v>
                </c:pt>
                <c:pt idx="2">
                  <c:v>0.001</c:v>
                </c:pt>
                <c:pt idx="3">
                  <c:v>0.001</c:v>
                </c:pt>
                <c:pt idx="4">
                  <c:v>0.001</c:v>
                </c:pt>
                <c:pt idx="5">
                  <c:v>0.001</c:v>
                </c:pt>
                <c:pt idx="6">
                  <c:v>0.006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A9E-4633-AE15-845C74114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5078256"/>
        <c:axId val="-2115072192"/>
      </c:scatterChart>
      <c:valAx>
        <c:axId val="-211507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5072192"/>
        <c:crosses val="autoZero"/>
        <c:crossBetween val="midCat"/>
      </c:valAx>
      <c:valAx>
        <c:axId val="-211507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5078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'10gperL+glucose'!$D$5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670944444444445"/>
                  <c:y val="-0.2514668999708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'10gperL+glucose'!$C$8:$C$11</c:f>
              <c:numCache>
                <c:formatCode>0.00</c:formatCode>
                <c:ptCount val="4"/>
                <c:pt idx="0">
                  <c:v>3.733333333279006</c:v>
                </c:pt>
                <c:pt idx="1">
                  <c:v>4.749999999941792</c:v>
                </c:pt>
                <c:pt idx="2">
                  <c:v>5.666666666627861</c:v>
                </c:pt>
                <c:pt idx="3">
                  <c:v>6.483333333337214</c:v>
                </c:pt>
              </c:numCache>
            </c:numRef>
          </c:xVal>
          <c:yVal>
            <c:numRef>
              <c:f>'10gperL+glucose'!$D$8:$D$11</c:f>
              <c:numCache>
                <c:formatCode>General</c:formatCode>
                <c:ptCount val="4"/>
                <c:pt idx="0">
                  <c:v>0.098</c:v>
                </c:pt>
                <c:pt idx="1">
                  <c:v>0.202</c:v>
                </c:pt>
                <c:pt idx="2">
                  <c:v>0.398</c:v>
                </c:pt>
                <c:pt idx="3">
                  <c:v>0.702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363-4A92-BA64-E0A57407F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5040208"/>
        <c:axId val="-2115034208"/>
      </c:scatterChart>
      <c:valAx>
        <c:axId val="-2115040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5034208"/>
        <c:crosses val="autoZero"/>
        <c:crossBetween val="midCat"/>
      </c:valAx>
      <c:valAx>
        <c:axId val="-211503420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504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'10gperL+glucose'!$E$5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679277777777778"/>
                  <c:y val="-0.2727755905511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'10gperL+glucose'!$C$8:$C$11</c:f>
              <c:numCache>
                <c:formatCode>0.00</c:formatCode>
                <c:ptCount val="4"/>
                <c:pt idx="0">
                  <c:v>3.733333333279006</c:v>
                </c:pt>
                <c:pt idx="1">
                  <c:v>4.749999999941792</c:v>
                </c:pt>
                <c:pt idx="2">
                  <c:v>5.666666666627861</c:v>
                </c:pt>
                <c:pt idx="3">
                  <c:v>6.483333333337214</c:v>
                </c:pt>
              </c:numCache>
            </c:numRef>
          </c:xVal>
          <c:yVal>
            <c:numRef>
              <c:f>'10gperL+glucose'!$E$8:$E$11</c:f>
              <c:numCache>
                <c:formatCode>General</c:formatCode>
                <c:ptCount val="4"/>
                <c:pt idx="0">
                  <c:v>0.084</c:v>
                </c:pt>
                <c:pt idx="1">
                  <c:v>0.171</c:v>
                </c:pt>
                <c:pt idx="2">
                  <c:v>0.334</c:v>
                </c:pt>
                <c:pt idx="3">
                  <c:v>0.585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9C-4B7B-A10E-BEA89C15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998752"/>
        <c:axId val="-2048885232"/>
      </c:scatterChart>
      <c:valAx>
        <c:axId val="-2114998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8885232"/>
        <c:crosses val="autoZero"/>
        <c:crossBetween val="midCat"/>
      </c:valAx>
      <c:valAx>
        <c:axId val="-204888523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>
            <c:manualLayout>
              <c:xMode val="edge"/>
              <c:yMode val="edge"/>
              <c:x val="0.0222222222222222"/>
              <c:y val="0.3849923447069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998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'10gperL+glucose'!$F$5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6765"/>
                  <c:y val="-0.25489319043452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'10gperL+glucose'!$C$8:$C$11</c:f>
              <c:numCache>
                <c:formatCode>0.00</c:formatCode>
                <c:ptCount val="4"/>
                <c:pt idx="0">
                  <c:v>3.733333333279006</c:v>
                </c:pt>
                <c:pt idx="1">
                  <c:v>4.749999999941792</c:v>
                </c:pt>
                <c:pt idx="2">
                  <c:v>5.666666666627861</c:v>
                </c:pt>
                <c:pt idx="3">
                  <c:v>6.483333333337214</c:v>
                </c:pt>
              </c:numCache>
            </c:numRef>
          </c:xVal>
          <c:yVal>
            <c:numRef>
              <c:f>'10gperL+glucose'!$F$8:$F$11</c:f>
              <c:numCache>
                <c:formatCode>General</c:formatCode>
                <c:ptCount val="4"/>
                <c:pt idx="0">
                  <c:v>0.095</c:v>
                </c:pt>
                <c:pt idx="1">
                  <c:v>0.197</c:v>
                </c:pt>
                <c:pt idx="2">
                  <c:v>0.384</c:v>
                </c:pt>
                <c:pt idx="3">
                  <c:v>0.678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F78-4500-86EB-F9B81C755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46841984"/>
        <c:axId val="-2047393856"/>
      </c:scatterChart>
      <c:valAx>
        <c:axId val="-2046841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7393856"/>
        <c:crosses val="autoZero"/>
        <c:crossBetween val="midCat"/>
      </c:valAx>
      <c:valAx>
        <c:axId val="-2047393856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6841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1XM9+10g/L</a:t>
            </a:r>
            <a:r>
              <a:rPr lang="en-US" baseline="0"/>
              <a:t> Glucose + 10g/L NaLactate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'10gperL+glucose'!$D$5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'10gperL+glucose'!$C$6:$C$12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2.016666666604578</c:v>
                </c:pt>
                <c:pt idx="2">
                  <c:v>3.733333333279006</c:v>
                </c:pt>
                <c:pt idx="3">
                  <c:v>4.749999999941792</c:v>
                </c:pt>
                <c:pt idx="4">
                  <c:v>5.666666666627861</c:v>
                </c:pt>
                <c:pt idx="5">
                  <c:v>6.483333333337214</c:v>
                </c:pt>
                <c:pt idx="6">
                  <c:v>7.38333333330229</c:v>
                </c:pt>
              </c:numCache>
            </c:numRef>
          </c:xVal>
          <c:yVal>
            <c:numRef>
              <c:f>'10gperL+glucose'!$D$6:$D$12</c:f>
              <c:numCache>
                <c:formatCode>General</c:formatCode>
                <c:ptCount val="7"/>
                <c:pt idx="0">
                  <c:v>0.01</c:v>
                </c:pt>
                <c:pt idx="1">
                  <c:v>0.03</c:v>
                </c:pt>
                <c:pt idx="2">
                  <c:v>0.098</c:v>
                </c:pt>
                <c:pt idx="3">
                  <c:v>0.202</c:v>
                </c:pt>
                <c:pt idx="4">
                  <c:v>0.398</c:v>
                </c:pt>
                <c:pt idx="5">
                  <c:v>0.702</c:v>
                </c:pt>
                <c:pt idx="6">
                  <c:v>1.195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AA0-418F-8CE7-02D15147189A}"/>
            </c:ext>
          </c:extLst>
        </c:ser>
        <c:ser>
          <c:idx val="1"/>
          <c:order val="1"/>
          <c:tx>
            <c:strRef>
              <c:f>'10gperL+glucose'!$E$5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'10gperL+glucose'!$C$6:$C$12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2.016666666604578</c:v>
                </c:pt>
                <c:pt idx="2">
                  <c:v>3.733333333279006</c:v>
                </c:pt>
                <c:pt idx="3">
                  <c:v>4.749999999941792</c:v>
                </c:pt>
                <c:pt idx="4">
                  <c:v>5.666666666627861</c:v>
                </c:pt>
                <c:pt idx="5">
                  <c:v>6.483333333337214</c:v>
                </c:pt>
                <c:pt idx="6">
                  <c:v>7.38333333330229</c:v>
                </c:pt>
              </c:numCache>
            </c:numRef>
          </c:xVal>
          <c:yVal>
            <c:numRef>
              <c:f>'10gperL+glucose'!$E$6:$E$12</c:f>
              <c:numCache>
                <c:formatCode>General</c:formatCode>
                <c:ptCount val="7"/>
                <c:pt idx="0">
                  <c:v>0.009</c:v>
                </c:pt>
                <c:pt idx="1">
                  <c:v>0.027</c:v>
                </c:pt>
                <c:pt idx="2">
                  <c:v>0.084</c:v>
                </c:pt>
                <c:pt idx="3">
                  <c:v>0.171</c:v>
                </c:pt>
                <c:pt idx="4">
                  <c:v>0.334</c:v>
                </c:pt>
                <c:pt idx="5">
                  <c:v>0.585</c:v>
                </c:pt>
                <c:pt idx="6">
                  <c:v>1.035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AA0-418F-8CE7-02D15147189A}"/>
            </c:ext>
          </c:extLst>
        </c:ser>
        <c:ser>
          <c:idx val="2"/>
          <c:order val="2"/>
          <c:tx>
            <c:strRef>
              <c:f>'10gperL+glucose'!$F$5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'10gperL+glucose'!$C$6:$C$12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2.016666666604578</c:v>
                </c:pt>
                <c:pt idx="2">
                  <c:v>3.733333333279006</c:v>
                </c:pt>
                <c:pt idx="3">
                  <c:v>4.749999999941792</c:v>
                </c:pt>
                <c:pt idx="4">
                  <c:v>5.666666666627861</c:v>
                </c:pt>
                <c:pt idx="5">
                  <c:v>6.483333333337214</c:v>
                </c:pt>
                <c:pt idx="6">
                  <c:v>7.38333333330229</c:v>
                </c:pt>
              </c:numCache>
            </c:numRef>
          </c:xVal>
          <c:yVal>
            <c:numRef>
              <c:f>'10gperL+glucose'!$F$6:$F$12</c:f>
              <c:numCache>
                <c:formatCode>General</c:formatCode>
                <c:ptCount val="7"/>
                <c:pt idx="0">
                  <c:v>0.01</c:v>
                </c:pt>
                <c:pt idx="1">
                  <c:v>0.029</c:v>
                </c:pt>
                <c:pt idx="2">
                  <c:v>0.095</c:v>
                </c:pt>
                <c:pt idx="3">
                  <c:v>0.197</c:v>
                </c:pt>
                <c:pt idx="4">
                  <c:v>0.384</c:v>
                </c:pt>
                <c:pt idx="5">
                  <c:v>0.678</c:v>
                </c:pt>
                <c:pt idx="6">
                  <c:v>1.18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AA0-418F-8CE7-02D151471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6894048"/>
        <c:axId val="-2076891216"/>
      </c:scatterChart>
      <c:valAx>
        <c:axId val="-2076894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891216"/>
        <c:crosses val="autoZero"/>
        <c:crossBetween val="midCat"/>
      </c:valAx>
      <c:valAx>
        <c:axId val="-2076891216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894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1XM9+10g/L</a:t>
            </a:r>
            <a:r>
              <a:rPr lang="en-US" baseline="0"/>
              <a:t> Glucose +5g/L NaLactate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2.083333333313931</c:v>
                </c:pt>
                <c:pt idx="2">
                  <c:v>3.799999999988358</c:v>
                </c:pt>
                <c:pt idx="3">
                  <c:v>4.79999999993015</c:v>
                </c:pt>
                <c:pt idx="4">
                  <c:v>5.649999999906867</c:v>
                </c:pt>
                <c:pt idx="5">
                  <c:v>6.46666666661622</c:v>
                </c:pt>
                <c:pt idx="6">
                  <c:v>7.366666666581295</c:v>
                </c:pt>
              </c:numCache>
            </c:numRef>
          </c:xVal>
          <c:yVal>
            <c:numRef>
              <c:f>'5gperL+glucose'!$D$6:$D$12</c:f>
              <c:numCache>
                <c:formatCode>General</c:formatCode>
                <c:ptCount val="7"/>
                <c:pt idx="0">
                  <c:v>0.009</c:v>
                </c:pt>
                <c:pt idx="1">
                  <c:v>0.029</c:v>
                </c:pt>
                <c:pt idx="2">
                  <c:v>0.098</c:v>
                </c:pt>
                <c:pt idx="3">
                  <c:v>0.207</c:v>
                </c:pt>
                <c:pt idx="4">
                  <c:v>0.388</c:v>
                </c:pt>
                <c:pt idx="5">
                  <c:v>0.69</c:v>
                </c:pt>
                <c:pt idx="6">
                  <c:v>1.205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C99-4F6B-B2CA-6EFF9B58951D}"/>
            </c:ext>
          </c:extLst>
        </c:ser>
        <c:ser>
          <c:idx val="1"/>
          <c:order val="1"/>
          <c:tx>
            <c:strRef>
              <c:f>'5gperL+glucose'!$E$5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'5gperL+glucose'!$C$6:$C$12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2.083333333313931</c:v>
                </c:pt>
                <c:pt idx="2">
                  <c:v>3.799999999988358</c:v>
                </c:pt>
                <c:pt idx="3">
                  <c:v>4.79999999993015</c:v>
                </c:pt>
                <c:pt idx="4">
                  <c:v>5.649999999906867</c:v>
                </c:pt>
                <c:pt idx="5">
                  <c:v>6.46666666661622</c:v>
                </c:pt>
                <c:pt idx="6">
                  <c:v>7.366666666581295</c:v>
                </c:pt>
              </c:numCache>
            </c:numRef>
          </c:xVal>
          <c:yVal>
            <c:numRef>
              <c:f>'5gperL+glucose'!$E$6:$E$12</c:f>
              <c:numCache>
                <c:formatCode>General</c:formatCode>
                <c:ptCount val="7"/>
                <c:pt idx="0">
                  <c:v>0.01</c:v>
                </c:pt>
                <c:pt idx="1">
                  <c:v>0.028</c:v>
                </c:pt>
                <c:pt idx="2">
                  <c:v>0.094</c:v>
                </c:pt>
                <c:pt idx="3">
                  <c:v>0.196</c:v>
                </c:pt>
                <c:pt idx="4">
                  <c:v>0.37</c:v>
                </c:pt>
                <c:pt idx="5">
                  <c:v>0.639</c:v>
                </c:pt>
                <c:pt idx="6">
                  <c:v>1.095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C99-4F6B-B2CA-6EFF9B58951D}"/>
            </c:ext>
          </c:extLst>
        </c:ser>
        <c:ser>
          <c:idx val="2"/>
          <c:order val="2"/>
          <c:tx>
            <c:strRef>
              <c:f>'5gperL+glucose'!$F$5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'5gperL+glucose'!$C$6:$C$12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2.083333333313931</c:v>
                </c:pt>
                <c:pt idx="2">
                  <c:v>3.799999999988358</c:v>
                </c:pt>
                <c:pt idx="3">
                  <c:v>4.79999999993015</c:v>
                </c:pt>
                <c:pt idx="4">
                  <c:v>5.649999999906867</c:v>
                </c:pt>
                <c:pt idx="5">
                  <c:v>6.46666666661622</c:v>
                </c:pt>
                <c:pt idx="6">
                  <c:v>7.366666666581295</c:v>
                </c:pt>
              </c:numCache>
            </c:numRef>
          </c:xVal>
          <c:yVal>
            <c:numRef>
              <c:f>'5gperL+glucose'!$F$6:$F$12</c:f>
              <c:numCache>
                <c:formatCode>General</c:formatCode>
                <c:ptCount val="7"/>
                <c:pt idx="0">
                  <c:v>0.009</c:v>
                </c:pt>
                <c:pt idx="1">
                  <c:v>0.031</c:v>
                </c:pt>
                <c:pt idx="2">
                  <c:v>0.108</c:v>
                </c:pt>
                <c:pt idx="3">
                  <c:v>0.231</c:v>
                </c:pt>
                <c:pt idx="4">
                  <c:v>0.436</c:v>
                </c:pt>
                <c:pt idx="5">
                  <c:v>0.762</c:v>
                </c:pt>
                <c:pt idx="6">
                  <c:v>1.305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C99-4F6B-B2CA-6EFF9B58951D}"/>
            </c:ext>
          </c:extLst>
        </c:ser>
        <c:ser>
          <c:idx val="3"/>
          <c:order val="3"/>
          <c:tx>
            <c:strRef>
              <c:f>'5gperL+glucose'!$G$5</c:f>
              <c:strCache>
                <c:ptCount val="1"/>
                <c:pt idx="0">
                  <c:v>Control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'5gperL+glucose'!$C$6:$C$12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2.083333333313931</c:v>
                </c:pt>
                <c:pt idx="2">
                  <c:v>3.799999999988358</c:v>
                </c:pt>
                <c:pt idx="3">
                  <c:v>4.79999999993015</c:v>
                </c:pt>
                <c:pt idx="4">
                  <c:v>5.649999999906867</c:v>
                </c:pt>
                <c:pt idx="5">
                  <c:v>6.46666666661622</c:v>
                </c:pt>
                <c:pt idx="6">
                  <c:v>7.366666666581295</c:v>
                </c:pt>
              </c:numCache>
            </c:numRef>
          </c:xVal>
          <c:yVal>
            <c:numRef>
              <c:f>'5gperL+glucose'!$G$6:$G$12</c:f>
              <c:numCache>
                <c:formatCode>General</c:formatCode>
                <c:ptCount val="7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C99-4F6B-B2CA-6EFF9B589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6826032"/>
        <c:axId val="-2076820032"/>
      </c:scatterChart>
      <c:valAx>
        <c:axId val="-2076826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820032"/>
        <c:crosses val="autoZero"/>
        <c:crossBetween val="midCat"/>
      </c:valAx>
      <c:valAx>
        <c:axId val="-207682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>
            <c:manualLayout>
              <c:xMode val="edge"/>
              <c:yMode val="edge"/>
              <c:x val="0.025"/>
              <c:y val="0.3849923447069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826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562652449693788"/>
                  <c:y val="-0.25454250510352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'5gperL+glucose'!$C$8:$C$11</c:f>
              <c:numCache>
                <c:formatCode>0.00</c:formatCode>
                <c:ptCount val="4"/>
                <c:pt idx="0">
                  <c:v>3.799999999988358</c:v>
                </c:pt>
                <c:pt idx="1">
                  <c:v>4.79999999993015</c:v>
                </c:pt>
                <c:pt idx="2">
                  <c:v>5.649999999906867</c:v>
                </c:pt>
                <c:pt idx="3">
                  <c:v>6.46666666661622</c:v>
                </c:pt>
              </c:numCache>
            </c:numRef>
          </c:xVal>
          <c:yVal>
            <c:numRef>
              <c:f>'5gperL+glucose'!$D$8:$D$11</c:f>
              <c:numCache>
                <c:formatCode>General</c:formatCode>
                <c:ptCount val="4"/>
                <c:pt idx="0">
                  <c:v>0.098</c:v>
                </c:pt>
                <c:pt idx="1">
                  <c:v>0.207</c:v>
                </c:pt>
                <c:pt idx="2">
                  <c:v>0.388</c:v>
                </c:pt>
                <c:pt idx="3">
                  <c:v>0.69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826-4448-B5BD-ED57E601E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1381792"/>
        <c:axId val="-2011374752"/>
      </c:scatterChart>
      <c:valAx>
        <c:axId val="-2011381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374752"/>
        <c:crosses val="autoZero"/>
        <c:crossBetween val="midCat"/>
      </c:valAx>
      <c:valAx>
        <c:axId val="-201137475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381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548763560804899"/>
                  <c:y val="-0.25290427238261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'5gperL+glucose'!$C$7:$C$10</c:f>
              <c:numCache>
                <c:formatCode>0.00</c:formatCode>
                <c:ptCount val="4"/>
                <c:pt idx="0">
                  <c:v>2.083333333313931</c:v>
                </c:pt>
                <c:pt idx="1">
                  <c:v>3.799999999988358</c:v>
                </c:pt>
                <c:pt idx="2">
                  <c:v>4.79999999993015</c:v>
                </c:pt>
                <c:pt idx="3">
                  <c:v>5.649999999906867</c:v>
                </c:pt>
              </c:numCache>
            </c:numRef>
          </c:xVal>
          <c:yVal>
            <c:numRef>
              <c:f>'5gperL+glucose'!$E$7:$E$10</c:f>
              <c:numCache>
                <c:formatCode>General</c:formatCode>
                <c:ptCount val="4"/>
                <c:pt idx="0">
                  <c:v>0.028</c:v>
                </c:pt>
                <c:pt idx="1">
                  <c:v>0.094</c:v>
                </c:pt>
                <c:pt idx="2">
                  <c:v>0.196</c:v>
                </c:pt>
                <c:pt idx="3">
                  <c:v>0.37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891-4A21-B252-D51CCA750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1324976"/>
        <c:axId val="-2011319104"/>
      </c:scatterChart>
      <c:valAx>
        <c:axId val="-2011324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319104"/>
        <c:crosses val="autoZero"/>
        <c:crossBetween val="midCat"/>
      </c:valAx>
      <c:valAx>
        <c:axId val="-2011319104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324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</a:t>
            </a:r>
            <a:r>
              <a:rPr lang="en-US" baseline="0"/>
              <a:t> + 10g/L Glucose + 4g/L NaLactate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'4gperL+glucose'!$D$5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3.600000000034925</c:v>
                </c:pt>
                <c:pt idx="2">
                  <c:v>4.699999999953434</c:v>
                </c:pt>
                <c:pt idx="3">
                  <c:v>5.633333333360497</c:v>
                </c:pt>
                <c:pt idx="4">
                  <c:v>6.63333333330229</c:v>
                </c:pt>
                <c:pt idx="5">
                  <c:v>7.84999999991851</c:v>
                </c:pt>
                <c:pt idx="6">
                  <c:v>8.633333333360497</c:v>
                </c:pt>
                <c:pt idx="7">
                  <c:v>9.483333333337213</c:v>
                </c:pt>
              </c:numCache>
            </c:numRef>
          </c:xVal>
          <c:yVal>
            <c:numRef>
              <c:f>'4gperL+glucose'!$D$6:$D$13</c:f>
              <c:numCache>
                <c:formatCode>General</c:formatCode>
                <c:ptCount val="8"/>
                <c:pt idx="0">
                  <c:v>0.009</c:v>
                </c:pt>
                <c:pt idx="1">
                  <c:v>0.088</c:v>
                </c:pt>
                <c:pt idx="2">
                  <c:v>0.161</c:v>
                </c:pt>
                <c:pt idx="3">
                  <c:v>0.322</c:v>
                </c:pt>
                <c:pt idx="4">
                  <c:v>0.669</c:v>
                </c:pt>
                <c:pt idx="5">
                  <c:v>1.428</c:v>
                </c:pt>
                <c:pt idx="6">
                  <c:v>2.097</c:v>
                </c:pt>
                <c:pt idx="7">
                  <c:v>2.871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6C9-45DA-B52F-CFA9E4C62714}"/>
            </c:ext>
          </c:extLst>
        </c:ser>
        <c:ser>
          <c:idx val="1"/>
          <c:order val="1"/>
          <c:tx>
            <c:strRef>
              <c:f>'4gperL+glucose'!$E$5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'4gperL+glucose'!$C$6:$C$13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3.600000000034925</c:v>
                </c:pt>
                <c:pt idx="2">
                  <c:v>4.699999999953434</c:v>
                </c:pt>
                <c:pt idx="3">
                  <c:v>5.633333333360497</c:v>
                </c:pt>
                <c:pt idx="4">
                  <c:v>6.63333333330229</c:v>
                </c:pt>
                <c:pt idx="5">
                  <c:v>7.84999999991851</c:v>
                </c:pt>
                <c:pt idx="6">
                  <c:v>8.633333333360497</c:v>
                </c:pt>
                <c:pt idx="7">
                  <c:v>9.483333333337213</c:v>
                </c:pt>
              </c:numCache>
            </c:numRef>
          </c:xVal>
          <c:yVal>
            <c:numRef>
              <c:f>'4gperL+glucose'!$E$6:$E$13</c:f>
              <c:numCache>
                <c:formatCode>General</c:formatCode>
                <c:ptCount val="8"/>
                <c:pt idx="0">
                  <c:v>0.009</c:v>
                </c:pt>
                <c:pt idx="1">
                  <c:v>0.087</c:v>
                </c:pt>
                <c:pt idx="2">
                  <c:v>0.187</c:v>
                </c:pt>
                <c:pt idx="3">
                  <c:v>0.378</c:v>
                </c:pt>
                <c:pt idx="4">
                  <c:v>0.762</c:v>
                </c:pt>
                <c:pt idx="5">
                  <c:v>1.652</c:v>
                </c:pt>
                <c:pt idx="6">
                  <c:v>2.394</c:v>
                </c:pt>
                <c:pt idx="7">
                  <c:v>3.014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6C9-45DA-B52F-CFA9E4C62714}"/>
            </c:ext>
          </c:extLst>
        </c:ser>
        <c:ser>
          <c:idx val="2"/>
          <c:order val="2"/>
          <c:tx>
            <c:strRef>
              <c:f>'4gperL+glucose'!$F$5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'4gperL+glucose'!$C$6:$C$13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3.600000000034925</c:v>
                </c:pt>
                <c:pt idx="2">
                  <c:v>4.699999999953434</c:v>
                </c:pt>
                <c:pt idx="3">
                  <c:v>5.633333333360497</c:v>
                </c:pt>
                <c:pt idx="4">
                  <c:v>6.63333333330229</c:v>
                </c:pt>
                <c:pt idx="5">
                  <c:v>7.84999999991851</c:v>
                </c:pt>
                <c:pt idx="6">
                  <c:v>8.633333333360497</c:v>
                </c:pt>
                <c:pt idx="7">
                  <c:v>9.483333333337213</c:v>
                </c:pt>
              </c:numCache>
            </c:numRef>
          </c:xVal>
          <c:yVal>
            <c:numRef>
              <c:f>'4gperL+glucose'!$F$6:$F$13</c:f>
              <c:numCache>
                <c:formatCode>General</c:formatCode>
                <c:ptCount val="8"/>
                <c:pt idx="0">
                  <c:v>0.01</c:v>
                </c:pt>
                <c:pt idx="1">
                  <c:v>0.1</c:v>
                </c:pt>
                <c:pt idx="2">
                  <c:v>0.219</c:v>
                </c:pt>
                <c:pt idx="3">
                  <c:v>0.444</c:v>
                </c:pt>
                <c:pt idx="4">
                  <c:v>0.892</c:v>
                </c:pt>
                <c:pt idx="5">
                  <c:v>1.855</c:v>
                </c:pt>
                <c:pt idx="6">
                  <c:v>2.607</c:v>
                </c:pt>
                <c:pt idx="7">
                  <c:v>3.372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6C9-45DA-B52F-CFA9E4C62714}"/>
            </c:ext>
          </c:extLst>
        </c:ser>
        <c:ser>
          <c:idx val="3"/>
          <c:order val="3"/>
          <c:tx>
            <c:strRef>
              <c:f>'4gperL+glucose'!$G$5</c:f>
              <c:strCache>
                <c:ptCount val="1"/>
                <c:pt idx="0">
                  <c:v>Control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'4gperL+glucose'!$C$6:$C$13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3.600000000034925</c:v>
                </c:pt>
                <c:pt idx="2">
                  <c:v>4.699999999953434</c:v>
                </c:pt>
                <c:pt idx="3">
                  <c:v>5.633333333360497</c:v>
                </c:pt>
                <c:pt idx="4">
                  <c:v>6.63333333330229</c:v>
                </c:pt>
                <c:pt idx="5">
                  <c:v>7.84999999991851</c:v>
                </c:pt>
                <c:pt idx="6">
                  <c:v>8.633333333360497</c:v>
                </c:pt>
                <c:pt idx="7">
                  <c:v>9.483333333337213</c:v>
                </c:pt>
              </c:numCache>
            </c:numRef>
          </c:xVal>
          <c:yVal>
            <c:numRef>
              <c:f>'4gperL+glucose'!$G$6:$G$13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6C9-45DA-B52F-CFA9E4C62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48736608"/>
        <c:axId val="-2048742624"/>
      </c:scatterChart>
      <c:valAx>
        <c:axId val="-2048736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8742624"/>
        <c:crosses val="autoZero"/>
        <c:crossBetween val="midCat"/>
      </c:valAx>
      <c:valAx>
        <c:axId val="-204874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8736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557096894138233"/>
                  <c:y val="-0.2379265091863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'5gperL+glucose'!$C$7:$C$10</c:f>
              <c:numCache>
                <c:formatCode>0.00</c:formatCode>
                <c:ptCount val="4"/>
                <c:pt idx="0">
                  <c:v>2.083333333313931</c:v>
                </c:pt>
                <c:pt idx="1">
                  <c:v>3.799999999988358</c:v>
                </c:pt>
                <c:pt idx="2">
                  <c:v>4.79999999993015</c:v>
                </c:pt>
                <c:pt idx="3">
                  <c:v>5.649999999906867</c:v>
                </c:pt>
              </c:numCache>
            </c:numRef>
          </c:xVal>
          <c:yVal>
            <c:numRef>
              <c:f>'5gperL+glucose'!$F$7:$F$10</c:f>
              <c:numCache>
                <c:formatCode>General</c:formatCode>
                <c:ptCount val="4"/>
                <c:pt idx="0">
                  <c:v>0.031</c:v>
                </c:pt>
                <c:pt idx="1">
                  <c:v>0.108</c:v>
                </c:pt>
                <c:pt idx="2">
                  <c:v>0.231</c:v>
                </c:pt>
                <c:pt idx="3">
                  <c:v>0.436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A1-425B-9634-0227B935E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1283600"/>
        <c:axId val="-2011277728"/>
      </c:scatterChart>
      <c:valAx>
        <c:axId val="-2011283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277728"/>
        <c:crosses val="autoZero"/>
        <c:crossBetween val="midCat"/>
      </c:valAx>
      <c:valAx>
        <c:axId val="-201127772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283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</a:t>
            </a:r>
            <a:r>
              <a:rPr lang="en-US" baseline="0"/>
              <a:t> + 10g/L Glucose +5g/L NaLactate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2.083333333313931</c:v>
                </c:pt>
                <c:pt idx="2">
                  <c:v>3.799999999988358</c:v>
                </c:pt>
                <c:pt idx="3">
                  <c:v>4.79999999993015</c:v>
                </c:pt>
                <c:pt idx="4">
                  <c:v>5.649999999906867</c:v>
                </c:pt>
                <c:pt idx="5">
                  <c:v>6.46666666661622</c:v>
                </c:pt>
                <c:pt idx="6">
                  <c:v>7.366666666581295</c:v>
                </c:pt>
              </c:numCache>
            </c:numRef>
          </c:xVal>
          <c:yVal>
            <c:numRef>
              <c:f>'5gperL+glucose'!$D$6:$D$12</c:f>
              <c:numCache>
                <c:formatCode>General</c:formatCode>
                <c:ptCount val="7"/>
                <c:pt idx="0">
                  <c:v>0.009</c:v>
                </c:pt>
                <c:pt idx="1">
                  <c:v>0.029</c:v>
                </c:pt>
                <c:pt idx="2">
                  <c:v>0.098</c:v>
                </c:pt>
                <c:pt idx="3">
                  <c:v>0.207</c:v>
                </c:pt>
                <c:pt idx="4">
                  <c:v>0.388</c:v>
                </c:pt>
                <c:pt idx="5">
                  <c:v>0.69</c:v>
                </c:pt>
                <c:pt idx="6">
                  <c:v>1.205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837-451D-9337-E79DFDD99437}"/>
            </c:ext>
          </c:extLst>
        </c:ser>
        <c:ser>
          <c:idx val="1"/>
          <c:order val="1"/>
          <c:tx>
            <c:strRef>
              <c:f>'5gperL+glucose'!$E$5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'5gperL+glucose'!$C$6:$C$12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2.083333333313931</c:v>
                </c:pt>
                <c:pt idx="2">
                  <c:v>3.799999999988358</c:v>
                </c:pt>
                <c:pt idx="3">
                  <c:v>4.79999999993015</c:v>
                </c:pt>
                <c:pt idx="4">
                  <c:v>5.649999999906867</c:v>
                </c:pt>
                <c:pt idx="5">
                  <c:v>6.46666666661622</c:v>
                </c:pt>
                <c:pt idx="6">
                  <c:v>7.366666666581295</c:v>
                </c:pt>
              </c:numCache>
            </c:numRef>
          </c:xVal>
          <c:yVal>
            <c:numRef>
              <c:f>'5gperL+glucose'!$E$6:$E$12</c:f>
              <c:numCache>
                <c:formatCode>General</c:formatCode>
                <c:ptCount val="7"/>
                <c:pt idx="0">
                  <c:v>0.01</c:v>
                </c:pt>
                <c:pt idx="1">
                  <c:v>0.028</c:v>
                </c:pt>
                <c:pt idx="2">
                  <c:v>0.094</c:v>
                </c:pt>
                <c:pt idx="3">
                  <c:v>0.196</c:v>
                </c:pt>
                <c:pt idx="4">
                  <c:v>0.37</c:v>
                </c:pt>
                <c:pt idx="5">
                  <c:v>0.639</c:v>
                </c:pt>
                <c:pt idx="6">
                  <c:v>1.095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837-451D-9337-E79DFDD99437}"/>
            </c:ext>
          </c:extLst>
        </c:ser>
        <c:ser>
          <c:idx val="2"/>
          <c:order val="2"/>
          <c:tx>
            <c:strRef>
              <c:f>'5gperL+glucose'!$F$5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'5gperL+glucose'!$C$6:$C$12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2.083333333313931</c:v>
                </c:pt>
                <c:pt idx="2">
                  <c:v>3.799999999988358</c:v>
                </c:pt>
                <c:pt idx="3">
                  <c:v>4.79999999993015</c:v>
                </c:pt>
                <c:pt idx="4">
                  <c:v>5.649999999906867</c:v>
                </c:pt>
                <c:pt idx="5">
                  <c:v>6.46666666661622</c:v>
                </c:pt>
                <c:pt idx="6">
                  <c:v>7.366666666581295</c:v>
                </c:pt>
              </c:numCache>
            </c:numRef>
          </c:xVal>
          <c:yVal>
            <c:numRef>
              <c:f>'5gperL+glucose'!$F$6:$F$12</c:f>
              <c:numCache>
                <c:formatCode>General</c:formatCode>
                <c:ptCount val="7"/>
                <c:pt idx="0">
                  <c:v>0.009</c:v>
                </c:pt>
                <c:pt idx="1">
                  <c:v>0.031</c:v>
                </c:pt>
                <c:pt idx="2">
                  <c:v>0.108</c:v>
                </c:pt>
                <c:pt idx="3">
                  <c:v>0.231</c:v>
                </c:pt>
                <c:pt idx="4">
                  <c:v>0.436</c:v>
                </c:pt>
                <c:pt idx="5">
                  <c:v>0.762</c:v>
                </c:pt>
                <c:pt idx="6">
                  <c:v>1.305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837-451D-9337-E79DFDD99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1229904"/>
        <c:axId val="-2011223952"/>
      </c:scatterChart>
      <c:valAx>
        <c:axId val="-2011229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223952"/>
        <c:crosses val="autoZero"/>
        <c:crossBetween val="midCat"/>
      </c:valAx>
      <c:valAx>
        <c:axId val="-201122395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229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</a:t>
            </a:r>
            <a:r>
              <a:rPr lang="en-US" baseline="0"/>
              <a:t> + 10g/L Glucose +3g/L NaLactate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1.616666666697711</c:v>
                </c:pt>
                <c:pt idx="2">
                  <c:v>2.900000000023283</c:v>
                </c:pt>
                <c:pt idx="3">
                  <c:v>3.849999999976717</c:v>
                </c:pt>
                <c:pt idx="4">
                  <c:v>5.000000000058208</c:v>
                </c:pt>
                <c:pt idx="5">
                  <c:v>5.950000000011641</c:v>
                </c:pt>
                <c:pt idx="6">
                  <c:v>6.799999999988358</c:v>
                </c:pt>
                <c:pt idx="7">
                  <c:v>7.766666666662786</c:v>
                </c:pt>
              </c:numCache>
            </c:numRef>
          </c:xVal>
          <c:yVal>
            <c:numRef>
              <c:f>'3gperL+glucose'!$D$6:$D$13</c:f>
              <c:numCache>
                <c:formatCode>General</c:formatCode>
                <c:ptCount val="8"/>
                <c:pt idx="0">
                  <c:v>0.009</c:v>
                </c:pt>
                <c:pt idx="1">
                  <c:v>0.018</c:v>
                </c:pt>
                <c:pt idx="2">
                  <c:v>0.038</c:v>
                </c:pt>
                <c:pt idx="3">
                  <c:v>0.076</c:v>
                </c:pt>
                <c:pt idx="4">
                  <c:v>0.178</c:v>
                </c:pt>
                <c:pt idx="5">
                  <c:v>0.362</c:v>
                </c:pt>
                <c:pt idx="6">
                  <c:v>0.666</c:v>
                </c:pt>
                <c:pt idx="7">
                  <c:v>1.205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313-4C89-BEAD-194A1E3F65B4}"/>
            </c:ext>
          </c:extLst>
        </c:ser>
        <c:ser>
          <c:idx val="1"/>
          <c:order val="1"/>
          <c:tx>
            <c:strRef>
              <c:f>'3gperL+glucose'!$E$5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1.616666666697711</c:v>
                </c:pt>
                <c:pt idx="2">
                  <c:v>2.900000000023283</c:v>
                </c:pt>
                <c:pt idx="3">
                  <c:v>3.849999999976717</c:v>
                </c:pt>
                <c:pt idx="4">
                  <c:v>5.000000000058208</c:v>
                </c:pt>
                <c:pt idx="5">
                  <c:v>5.950000000011641</c:v>
                </c:pt>
                <c:pt idx="6">
                  <c:v>6.799999999988358</c:v>
                </c:pt>
                <c:pt idx="7">
                  <c:v>7.766666666662786</c:v>
                </c:pt>
              </c:numCache>
            </c:numRef>
          </c:xVal>
          <c:yVal>
            <c:numRef>
              <c:f>'3gperL+glucose'!$E$6:$E$13</c:f>
              <c:numCache>
                <c:formatCode>General</c:formatCode>
                <c:ptCount val="8"/>
                <c:pt idx="0">
                  <c:v>0.009</c:v>
                </c:pt>
                <c:pt idx="1">
                  <c:v>0.02</c:v>
                </c:pt>
                <c:pt idx="2">
                  <c:v>0.046</c:v>
                </c:pt>
                <c:pt idx="3">
                  <c:v>0.087</c:v>
                </c:pt>
                <c:pt idx="4">
                  <c:v>0.196</c:v>
                </c:pt>
                <c:pt idx="5">
                  <c:v>0.394</c:v>
                </c:pt>
                <c:pt idx="6">
                  <c:v>0.708</c:v>
                </c:pt>
                <c:pt idx="7">
                  <c:v>1.21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313-4C89-BEAD-194A1E3F65B4}"/>
            </c:ext>
          </c:extLst>
        </c:ser>
        <c:ser>
          <c:idx val="2"/>
          <c:order val="2"/>
          <c:tx>
            <c:strRef>
              <c:f>'3gperL+glucose'!$F$5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1.616666666697711</c:v>
                </c:pt>
                <c:pt idx="2">
                  <c:v>2.900000000023283</c:v>
                </c:pt>
                <c:pt idx="3">
                  <c:v>3.849999999976717</c:v>
                </c:pt>
                <c:pt idx="4">
                  <c:v>5.000000000058208</c:v>
                </c:pt>
                <c:pt idx="5">
                  <c:v>5.950000000011641</c:v>
                </c:pt>
                <c:pt idx="6">
                  <c:v>6.799999999988358</c:v>
                </c:pt>
                <c:pt idx="7">
                  <c:v>7.766666666662786</c:v>
                </c:pt>
              </c:numCache>
            </c:numRef>
          </c:xVal>
          <c:yVal>
            <c:numRef>
              <c:f>'3gperL+glucose'!$F$6:$F$13</c:f>
              <c:numCache>
                <c:formatCode>General</c:formatCode>
                <c:ptCount val="8"/>
                <c:pt idx="0">
                  <c:v>0.009</c:v>
                </c:pt>
                <c:pt idx="1">
                  <c:v>0.019</c:v>
                </c:pt>
                <c:pt idx="2">
                  <c:v>0.042</c:v>
                </c:pt>
                <c:pt idx="3">
                  <c:v>0.083</c:v>
                </c:pt>
                <c:pt idx="4">
                  <c:v>0.196</c:v>
                </c:pt>
                <c:pt idx="5">
                  <c:v>0.404</c:v>
                </c:pt>
                <c:pt idx="6">
                  <c:v>0.723</c:v>
                </c:pt>
                <c:pt idx="7">
                  <c:v>1.27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313-4C89-BEAD-194A1E3F65B4}"/>
            </c:ext>
          </c:extLst>
        </c:ser>
        <c:ser>
          <c:idx val="3"/>
          <c:order val="3"/>
          <c:tx>
            <c:strRef>
              <c:f>'3gperL+glucose'!$G$5</c:f>
              <c:strCache>
                <c:ptCount val="1"/>
                <c:pt idx="0">
                  <c:v>Control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1.616666666697711</c:v>
                </c:pt>
                <c:pt idx="2">
                  <c:v>2.900000000023283</c:v>
                </c:pt>
                <c:pt idx="3">
                  <c:v>3.849999999976717</c:v>
                </c:pt>
                <c:pt idx="4">
                  <c:v>5.000000000058208</c:v>
                </c:pt>
                <c:pt idx="5">
                  <c:v>5.950000000011641</c:v>
                </c:pt>
                <c:pt idx="6">
                  <c:v>6.799999999988358</c:v>
                </c:pt>
                <c:pt idx="7">
                  <c:v>7.766666666662786</c:v>
                </c:pt>
              </c:numCache>
            </c:numRef>
          </c:xVal>
          <c:yVal>
            <c:numRef>
              <c:f>'3gperL+glucose'!$G$6:$G$13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313-4C89-BEAD-194A1E3F6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1778208"/>
        <c:axId val="-2011784224"/>
      </c:scatterChart>
      <c:valAx>
        <c:axId val="-2011778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784224"/>
        <c:crosses val="autoZero"/>
        <c:crossBetween val="midCat"/>
      </c:valAx>
      <c:valAx>
        <c:axId val="-201178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778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1XM9+10g/L</a:t>
            </a:r>
            <a:r>
              <a:rPr lang="en-US" baseline="0"/>
              <a:t> G</a:t>
            </a:r>
            <a:r>
              <a:rPr lang="en-US"/>
              <a:t>lucose + 3g/L NaLactate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1.616666666697711</c:v>
                </c:pt>
                <c:pt idx="2">
                  <c:v>2.900000000023283</c:v>
                </c:pt>
                <c:pt idx="3">
                  <c:v>3.849999999976717</c:v>
                </c:pt>
                <c:pt idx="4">
                  <c:v>5.000000000058208</c:v>
                </c:pt>
                <c:pt idx="5">
                  <c:v>5.950000000011641</c:v>
                </c:pt>
                <c:pt idx="6">
                  <c:v>6.799999999988358</c:v>
                </c:pt>
                <c:pt idx="7">
                  <c:v>7.766666666662786</c:v>
                </c:pt>
              </c:numCache>
            </c:numRef>
          </c:xVal>
          <c:yVal>
            <c:numRef>
              <c:f>'3gperL+glucose'!$D$6:$D$13</c:f>
              <c:numCache>
                <c:formatCode>General</c:formatCode>
                <c:ptCount val="8"/>
                <c:pt idx="0">
                  <c:v>0.009</c:v>
                </c:pt>
                <c:pt idx="1">
                  <c:v>0.018</c:v>
                </c:pt>
                <c:pt idx="2">
                  <c:v>0.038</c:v>
                </c:pt>
                <c:pt idx="3">
                  <c:v>0.076</c:v>
                </c:pt>
                <c:pt idx="4">
                  <c:v>0.178</c:v>
                </c:pt>
                <c:pt idx="5">
                  <c:v>0.362</c:v>
                </c:pt>
                <c:pt idx="6">
                  <c:v>0.666</c:v>
                </c:pt>
                <c:pt idx="7">
                  <c:v>1.205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2B3-4ACE-B85B-D5DD16D578A9}"/>
            </c:ext>
          </c:extLst>
        </c:ser>
        <c:ser>
          <c:idx val="1"/>
          <c:order val="1"/>
          <c:tx>
            <c:strRef>
              <c:f>'3gperL+glucose'!$E$5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1.616666666697711</c:v>
                </c:pt>
                <c:pt idx="2">
                  <c:v>2.900000000023283</c:v>
                </c:pt>
                <c:pt idx="3">
                  <c:v>3.849999999976717</c:v>
                </c:pt>
                <c:pt idx="4">
                  <c:v>5.000000000058208</c:v>
                </c:pt>
                <c:pt idx="5">
                  <c:v>5.950000000011641</c:v>
                </c:pt>
                <c:pt idx="6">
                  <c:v>6.799999999988358</c:v>
                </c:pt>
                <c:pt idx="7">
                  <c:v>7.766666666662786</c:v>
                </c:pt>
              </c:numCache>
            </c:numRef>
          </c:xVal>
          <c:yVal>
            <c:numRef>
              <c:f>'3gperL+glucose'!$E$6:$E$13</c:f>
              <c:numCache>
                <c:formatCode>General</c:formatCode>
                <c:ptCount val="8"/>
                <c:pt idx="0">
                  <c:v>0.009</c:v>
                </c:pt>
                <c:pt idx="1">
                  <c:v>0.02</c:v>
                </c:pt>
                <c:pt idx="2">
                  <c:v>0.046</c:v>
                </c:pt>
                <c:pt idx="3">
                  <c:v>0.087</c:v>
                </c:pt>
                <c:pt idx="4">
                  <c:v>0.196</c:v>
                </c:pt>
                <c:pt idx="5">
                  <c:v>0.394</c:v>
                </c:pt>
                <c:pt idx="6">
                  <c:v>0.708</c:v>
                </c:pt>
                <c:pt idx="7">
                  <c:v>1.21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2B3-4ACE-B85B-D5DD16D578A9}"/>
            </c:ext>
          </c:extLst>
        </c:ser>
        <c:ser>
          <c:idx val="2"/>
          <c:order val="2"/>
          <c:tx>
            <c:strRef>
              <c:f>'3gperL+glucose'!$F$5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1.616666666697711</c:v>
                </c:pt>
                <c:pt idx="2">
                  <c:v>2.900000000023283</c:v>
                </c:pt>
                <c:pt idx="3">
                  <c:v>3.849999999976717</c:v>
                </c:pt>
                <c:pt idx="4">
                  <c:v>5.000000000058208</c:v>
                </c:pt>
                <c:pt idx="5">
                  <c:v>5.950000000011641</c:v>
                </c:pt>
                <c:pt idx="6">
                  <c:v>6.799999999988358</c:v>
                </c:pt>
                <c:pt idx="7">
                  <c:v>7.766666666662786</c:v>
                </c:pt>
              </c:numCache>
            </c:numRef>
          </c:xVal>
          <c:yVal>
            <c:numRef>
              <c:f>'3gperL+glucose'!$F$6:$F$13</c:f>
              <c:numCache>
                <c:formatCode>General</c:formatCode>
                <c:ptCount val="8"/>
                <c:pt idx="0">
                  <c:v>0.009</c:v>
                </c:pt>
                <c:pt idx="1">
                  <c:v>0.019</c:v>
                </c:pt>
                <c:pt idx="2">
                  <c:v>0.042</c:v>
                </c:pt>
                <c:pt idx="3">
                  <c:v>0.083</c:v>
                </c:pt>
                <c:pt idx="4">
                  <c:v>0.196</c:v>
                </c:pt>
                <c:pt idx="5">
                  <c:v>0.404</c:v>
                </c:pt>
                <c:pt idx="6">
                  <c:v>0.723</c:v>
                </c:pt>
                <c:pt idx="7">
                  <c:v>1.27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2B3-4ACE-B85B-D5DD16D57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1828688"/>
        <c:axId val="-2011834640"/>
      </c:scatterChart>
      <c:valAx>
        <c:axId val="-2011828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834640"/>
        <c:crosses val="autoZero"/>
        <c:crossBetween val="midCat"/>
      </c:valAx>
      <c:valAx>
        <c:axId val="-2011834640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828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446836863701896"/>
                  <c:y val="-0.36178470228079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'3gperL+glucose'!$C$8:$C$11</c:f>
              <c:numCache>
                <c:formatCode>0.00</c:formatCode>
                <c:ptCount val="4"/>
                <c:pt idx="0">
                  <c:v>2.900000000023283</c:v>
                </c:pt>
                <c:pt idx="1">
                  <c:v>3.849999999976717</c:v>
                </c:pt>
                <c:pt idx="2">
                  <c:v>5.000000000058208</c:v>
                </c:pt>
                <c:pt idx="3">
                  <c:v>5.950000000011641</c:v>
                </c:pt>
              </c:numCache>
            </c:numRef>
          </c:xVal>
          <c:yVal>
            <c:numRef>
              <c:f>'3gperL+glucose'!$D$8:$D$11</c:f>
              <c:numCache>
                <c:formatCode>General</c:formatCode>
                <c:ptCount val="4"/>
                <c:pt idx="0">
                  <c:v>0.038</c:v>
                </c:pt>
                <c:pt idx="1">
                  <c:v>0.076</c:v>
                </c:pt>
                <c:pt idx="2">
                  <c:v>0.178</c:v>
                </c:pt>
                <c:pt idx="3">
                  <c:v>0.362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2C-4491-9885-2BCB1339B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1867088"/>
        <c:axId val="-2011872960"/>
      </c:scatterChart>
      <c:valAx>
        <c:axId val="-2011867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872960"/>
        <c:crosses val="autoZero"/>
        <c:crossBetween val="midCat"/>
      </c:valAx>
      <c:valAx>
        <c:axId val="-2011872960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867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446836863701896"/>
                  <c:y val="-0.36178470228079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'3gperL+glucose'!$C$9:$C$12</c:f>
              <c:numCache>
                <c:formatCode>0.00</c:formatCode>
                <c:ptCount val="4"/>
                <c:pt idx="0">
                  <c:v>3.849999999976717</c:v>
                </c:pt>
                <c:pt idx="1">
                  <c:v>5.000000000058208</c:v>
                </c:pt>
                <c:pt idx="2">
                  <c:v>5.950000000011641</c:v>
                </c:pt>
                <c:pt idx="3">
                  <c:v>6.799999999988358</c:v>
                </c:pt>
              </c:numCache>
            </c:numRef>
          </c:xVal>
          <c:yVal>
            <c:numRef>
              <c:f>'3gperL+glucose'!$E$9:$E$12</c:f>
              <c:numCache>
                <c:formatCode>General</c:formatCode>
                <c:ptCount val="4"/>
                <c:pt idx="0">
                  <c:v>0.087</c:v>
                </c:pt>
                <c:pt idx="1">
                  <c:v>0.196</c:v>
                </c:pt>
                <c:pt idx="2">
                  <c:v>0.394</c:v>
                </c:pt>
                <c:pt idx="3">
                  <c:v>0.708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93C-4629-B465-6EC351A83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1908512"/>
        <c:axId val="-2011914384"/>
      </c:scatterChart>
      <c:valAx>
        <c:axId val="-201190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914384"/>
        <c:crosses val="autoZero"/>
        <c:crossBetween val="midCat"/>
      </c:valAx>
      <c:valAx>
        <c:axId val="-2011914384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908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446836863701896"/>
                  <c:y val="-0.36178470228079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'3gperL+glucose'!$C$8:$C$11</c:f>
              <c:numCache>
                <c:formatCode>0.00</c:formatCode>
                <c:ptCount val="4"/>
                <c:pt idx="0">
                  <c:v>2.900000000023283</c:v>
                </c:pt>
                <c:pt idx="1">
                  <c:v>3.849999999976717</c:v>
                </c:pt>
                <c:pt idx="2">
                  <c:v>5.000000000058208</c:v>
                </c:pt>
                <c:pt idx="3">
                  <c:v>5.950000000011641</c:v>
                </c:pt>
              </c:numCache>
            </c:numRef>
          </c:xVal>
          <c:yVal>
            <c:numRef>
              <c:f>'3gperL+glucose'!$F$8:$F$11</c:f>
              <c:numCache>
                <c:formatCode>General</c:formatCode>
                <c:ptCount val="4"/>
                <c:pt idx="0">
                  <c:v>0.042</c:v>
                </c:pt>
                <c:pt idx="1">
                  <c:v>0.083</c:v>
                </c:pt>
                <c:pt idx="2">
                  <c:v>0.196</c:v>
                </c:pt>
                <c:pt idx="3">
                  <c:v>0.404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77F-4599-8CB5-D91091971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6021008"/>
        <c:axId val="-2116015008"/>
      </c:scatterChart>
      <c:valAx>
        <c:axId val="-211602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015008"/>
        <c:crosses val="autoZero"/>
        <c:crossBetween val="midCat"/>
      </c:valAx>
      <c:valAx>
        <c:axId val="-211601500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6021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</a:t>
            </a:r>
            <a:r>
              <a:rPr lang="en-US" baseline="0"/>
              <a:t> + 10g/L Glucose + 1g/L NaLactate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1.31666666676756</c:v>
                </c:pt>
                <c:pt idx="2">
                  <c:v>2.900000000023283</c:v>
                </c:pt>
                <c:pt idx="3">
                  <c:v>4.33333333331393</c:v>
                </c:pt>
                <c:pt idx="4">
                  <c:v>5.466666666674427</c:v>
                </c:pt>
                <c:pt idx="5">
                  <c:v>6.816666666709352</c:v>
                </c:pt>
                <c:pt idx="6">
                  <c:v>7.78333333338378</c:v>
                </c:pt>
                <c:pt idx="7">
                  <c:v>8.93333333346527</c:v>
                </c:pt>
              </c:numCache>
            </c:numRef>
          </c:xVal>
          <c:yVal>
            <c:numRef>
              <c:f>'1gperL+glucose'!$D$6:$D$13</c:f>
              <c:numCache>
                <c:formatCode>General</c:formatCode>
                <c:ptCount val="8"/>
                <c:pt idx="0">
                  <c:v>0.009</c:v>
                </c:pt>
                <c:pt idx="1">
                  <c:v>0.016</c:v>
                </c:pt>
                <c:pt idx="2">
                  <c:v>0.039</c:v>
                </c:pt>
                <c:pt idx="3">
                  <c:v>0.102</c:v>
                </c:pt>
                <c:pt idx="4">
                  <c:v>0.224</c:v>
                </c:pt>
                <c:pt idx="5">
                  <c:v>0.591</c:v>
                </c:pt>
                <c:pt idx="6">
                  <c:v>1.016</c:v>
                </c:pt>
                <c:pt idx="7">
                  <c:v>1.662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4F-4B00-BD55-DBF8DC13C345}"/>
            </c:ext>
          </c:extLst>
        </c:ser>
        <c:ser>
          <c:idx val="1"/>
          <c:order val="1"/>
          <c:tx>
            <c:strRef>
              <c:f>'1gperL+glucose'!$E$5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1.31666666676756</c:v>
                </c:pt>
                <c:pt idx="2">
                  <c:v>2.900000000023283</c:v>
                </c:pt>
                <c:pt idx="3">
                  <c:v>4.33333333331393</c:v>
                </c:pt>
                <c:pt idx="4">
                  <c:v>5.466666666674427</c:v>
                </c:pt>
                <c:pt idx="5">
                  <c:v>6.816666666709352</c:v>
                </c:pt>
                <c:pt idx="6">
                  <c:v>7.78333333338378</c:v>
                </c:pt>
                <c:pt idx="7">
                  <c:v>8.93333333346527</c:v>
                </c:pt>
              </c:numCache>
            </c:numRef>
          </c:xVal>
          <c:yVal>
            <c:numRef>
              <c:f>'1gperL+glucose'!$E$6:$E$13</c:f>
              <c:numCache>
                <c:formatCode>General</c:formatCode>
                <c:ptCount val="8"/>
                <c:pt idx="0">
                  <c:v>0.01</c:v>
                </c:pt>
                <c:pt idx="1">
                  <c:v>0.016</c:v>
                </c:pt>
                <c:pt idx="2">
                  <c:v>0.035</c:v>
                </c:pt>
                <c:pt idx="3">
                  <c:v>0.093</c:v>
                </c:pt>
                <c:pt idx="4">
                  <c:v>0.204</c:v>
                </c:pt>
                <c:pt idx="5">
                  <c:v>0.537</c:v>
                </c:pt>
                <c:pt idx="6">
                  <c:v>0.94</c:v>
                </c:pt>
                <c:pt idx="7">
                  <c:v>1.524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4F-4B00-BD55-DBF8DC13C345}"/>
            </c:ext>
          </c:extLst>
        </c:ser>
        <c:ser>
          <c:idx val="2"/>
          <c:order val="2"/>
          <c:tx>
            <c:strRef>
              <c:f>'1gperL+glucose'!$F$5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'1gperL+glucose'!$C$6:$C$13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1.31666666676756</c:v>
                </c:pt>
                <c:pt idx="2">
                  <c:v>2.900000000023283</c:v>
                </c:pt>
                <c:pt idx="3">
                  <c:v>4.33333333331393</c:v>
                </c:pt>
                <c:pt idx="4">
                  <c:v>5.466666666674427</c:v>
                </c:pt>
                <c:pt idx="5">
                  <c:v>6.816666666709352</c:v>
                </c:pt>
                <c:pt idx="6">
                  <c:v>7.78333333338378</c:v>
                </c:pt>
                <c:pt idx="7">
                  <c:v>8.93333333346527</c:v>
                </c:pt>
              </c:numCache>
            </c:numRef>
          </c:xVal>
          <c:yVal>
            <c:numRef>
              <c:f>'1gperL+glucose'!$F$6:$F$13</c:f>
              <c:numCache>
                <c:formatCode>General</c:formatCode>
                <c:ptCount val="8"/>
                <c:pt idx="0">
                  <c:v>0.009</c:v>
                </c:pt>
                <c:pt idx="1">
                  <c:v>0.016</c:v>
                </c:pt>
                <c:pt idx="2">
                  <c:v>0.041</c:v>
                </c:pt>
                <c:pt idx="3">
                  <c:v>0.112</c:v>
                </c:pt>
                <c:pt idx="4">
                  <c:v>0.25</c:v>
                </c:pt>
                <c:pt idx="5">
                  <c:v>0.663</c:v>
                </c:pt>
                <c:pt idx="6">
                  <c:v>1.108</c:v>
                </c:pt>
                <c:pt idx="7">
                  <c:v>1.897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D4F-4B00-BD55-DBF8DC13C345}"/>
            </c:ext>
          </c:extLst>
        </c:ser>
        <c:ser>
          <c:idx val="3"/>
          <c:order val="3"/>
          <c:tx>
            <c:strRef>
              <c:f>'1gperL+glucose'!$G$5</c:f>
              <c:strCache>
                <c:ptCount val="1"/>
                <c:pt idx="0">
                  <c:v>Control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'1gperL+glucose'!$C$6:$C$13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1.31666666676756</c:v>
                </c:pt>
                <c:pt idx="2">
                  <c:v>2.900000000023283</c:v>
                </c:pt>
                <c:pt idx="3">
                  <c:v>4.33333333331393</c:v>
                </c:pt>
                <c:pt idx="4">
                  <c:v>5.466666666674427</c:v>
                </c:pt>
                <c:pt idx="5">
                  <c:v>6.816666666709352</c:v>
                </c:pt>
                <c:pt idx="6">
                  <c:v>7.78333333338378</c:v>
                </c:pt>
                <c:pt idx="7">
                  <c:v>8.93333333346527</c:v>
                </c:pt>
              </c:numCache>
            </c:numRef>
          </c:xVal>
          <c:yVal>
            <c:numRef>
              <c:f>'1gperL+glucose'!$G$6:$G$13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0.001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D4F-4B00-BD55-DBF8DC13C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1961664"/>
        <c:axId val="-2011967680"/>
      </c:scatterChart>
      <c:valAx>
        <c:axId val="-2011961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967680"/>
        <c:crosses val="autoZero"/>
        <c:crossBetween val="midCat"/>
      </c:valAx>
      <c:valAx>
        <c:axId val="-201196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 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9616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 + 10g/L Glucose+</a:t>
            </a:r>
            <a:r>
              <a:rPr lang="en-US" baseline="0"/>
              <a:t>1g/L NaLactate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1.31666666676756</c:v>
                </c:pt>
                <c:pt idx="2">
                  <c:v>2.900000000023283</c:v>
                </c:pt>
                <c:pt idx="3">
                  <c:v>4.33333333331393</c:v>
                </c:pt>
                <c:pt idx="4">
                  <c:v>5.466666666674427</c:v>
                </c:pt>
                <c:pt idx="5">
                  <c:v>6.816666666709352</c:v>
                </c:pt>
                <c:pt idx="6">
                  <c:v>7.78333333338378</c:v>
                </c:pt>
                <c:pt idx="7">
                  <c:v>8.93333333346527</c:v>
                </c:pt>
              </c:numCache>
            </c:numRef>
          </c:xVal>
          <c:yVal>
            <c:numRef>
              <c:f>'1gperL+glucose'!$D$6:$D$13</c:f>
              <c:numCache>
                <c:formatCode>General</c:formatCode>
                <c:ptCount val="8"/>
                <c:pt idx="0">
                  <c:v>0.009</c:v>
                </c:pt>
                <c:pt idx="1">
                  <c:v>0.016</c:v>
                </c:pt>
                <c:pt idx="2">
                  <c:v>0.039</c:v>
                </c:pt>
                <c:pt idx="3">
                  <c:v>0.102</c:v>
                </c:pt>
                <c:pt idx="4">
                  <c:v>0.224</c:v>
                </c:pt>
                <c:pt idx="5">
                  <c:v>0.591</c:v>
                </c:pt>
                <c:pt idx="6">
                  <c:v>1.016</c:v>
                </c:pt>
                <c:pt idx="7">
                  <c:v>1.662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040-42C6-808B-FF02374436ED}"/>
            </c:ext>
          </c:extLst>
        </c:ser>
        <c:ser>
          <c:idx val="1"/>
          <c:order val="1"/>
          <c:tx>
            <c:strRef>
              <c:f>'1gperL+glucose'!$E$5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1.31666666676756</c:v>
                </c:pt>
                <c:pt idx="2">
                  <c:v>2.900000000023283</c:v>
                </c:pt>
                <c:pt idx="3">
                  <c:v>4.33333333331393</c:v>
                </c:pt>
                <c:pt idx="4">
                  <c:v>5.466666666674427</c:v>
                </c:pt>
                <c:pt idx="5">
                  <c:v>6.816666666709352</c:v>
                </c:pt>
                <c:pt idx="6">
                  <c:v>7.78333333338378</c:v>
                </c:pt>
                <c:pt idx="7">
                  <c:v>8.93333333346527</c:v>
                </c:pt>
              </c:numCache>
            </c:numRef>
          </c:xVal>
          <c:yVal>
            <c:numRef>
              <c:f>'1gperL+glucose'!$E$6:$E$13</c:f>
              <c:numCache>
                <c:formatCode>General</c:formatCode>
                <c:ptCount val="8"/>
                <c:pt idx="0">
                  <c:v>0.01</c:v>
                </c:pt>
                <c:pt idx="1">
                  <c:v>0.016</c:v>
                </c:pt>
                <c:pt idx="2">
                  <c:v>0.035</c:v>
                </c:pt>
                <c:pt idx="3">
                  <c:v>0.093</c:v>
                </c:pt>
                <c:pt idx="4">
                  <c:v>0.204</c:v>
                </c:pt>
                <c:pt idx="5">
                  <c:v>0.537</c:v>
                </c:pt>
                <c:pt idx="6">
                  <c:v>0.94</c:v>
                </c:pt>
                <c:pt idx="7">
                  <c:v>1.524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040-42C6-808B-FF02374436ED}"/>
            </c:ext>
          </c:extLst>
        </c:ser>
        <c:ser>
          <c:idx val="2"/>
          <c:order val="2"/>
          <c:tx>
            <c:strRef>
              <c:f>'1gperL+glucose'!$F$5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'1gperL+glucose'!$C$6:$C$13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1.31666666676756</c:v>
                </c:pt>
                <c:pt idx="2">
                  <c:v>2.900000000023283</c:v>
                </c:pt>
                <c:pt idx="3">
                  <c:v>4.33333333331393</c:v>
                </c:pt>
                <c:pt idx="4">
                  <c:v>5.466666666674427</c:v>
                </c:pt>
                <c:pt idx="5">
                  <c:v>6.816666666709352</c:v>
                </c:pt>
                <c:pt idx="6">
                  <c:v>7.78333333338378</c:v>
                </c:pt>
                <c:pt idx="7">
                  <c:v>8.93333333346527</c:v>
                </c:pt>
              </c:numCache>
            </c:numRef>
          </c:xVal>
          <c:yVal>
            <c:numRef>
              <c:f>'1gperL+glucose'!$F$6:$F$13</c:f>
              <c:numCache>
                <c:formatCode>General</c:formatCode>
                <c:ptCount val="8"/>
                <c:pt idx="0">
                  <c:v>0.009</c:v>
                </c:pt>
                <c:pt idx="1">
                  <c:v>0.016</c:v>
                </c:pt>
                <c:pt idx="2">
                  <c:v>0.041</c:v>
                </c:pt>
                <c:pt idx="3">
                  <c:v>0.112</c:v>
                </c:pt>
                <c:pt idx="4">
                  <c:v>0.25</c:v>
                </c:pt>
                <c:pt idx="5">
                  <c:v>0.663</c:v>
                </c:pt>
                <c:pt idx="6">
                  <c:v>1.108</c:v>
                </c:pt>
                <c:pt idx="7">
                  <c:v>1.897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040-42C6-808B-FF0237443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023712"/>
        <c:axId val="-2012029664"/>
      </c:scatterChart>
      <c:valAx>
        <c:axId val="-201202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2029664"/>
        <c:crosses val="autoZero"/>
        <c:crossBetween val="midCat"/>
      </c:valAx>
      <c:valAx>
        <c:axId val="-2012029664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OD</a:t>
                </a:r>
                <a:r>
                  <a:rPr lang="en-US" baseline="0"/>
                  <a:t>600nm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2023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44658812569571"/>
                  <c:y val="-0.4439297171186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'1gperL+glucose'!$C$8:$C$11</c:f>
              <c:numCache>
                <c:formatCode>0.00</c:formatCode>
                <c:ptCount val="4"/>
                <c:pt idx="0">
                  <c:v>2.900000000023283</c:v>
                </c:pt>
                <c:pt idx="1">
                  <c:v>4.33333333331393</c:v>
                </c:pt>
                <c:pt idx="2">
                  <c:v>5.466666666674427</c:v>
                </c:pt>
                <c:pt idx="3">
                  <c:v>6.816666666709352</c:v>
                </c:pt>
              </c:numCache>
            </c:numRef>
          </c:xVal>
          <c:yVal>
            <c:numRef>
              <c:f>'1gperL+glucose'!$D$8:$D$11</c:f>
              <c:numCache>
                <c:formatCode>General</c:formatCode>
                <c:ptCount val="4"/>
                <c:pt idx="0">
                  <c:v>0.039</c:v>
                </c:pt>
                <c:pt idx="1">
                  <c:v>0.102</c:v>
                </c:pt>
                <c:pt idx="2">
                  <c:v>0.224</c:v>
                </c:pt>
                <c:pt idx="3">
                  <c:v>0.591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90-4129-9FA5-A6A5D2ED0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062112"/>
        <c:axId val="-2012067984"/>
      </c:scatterChart>
      <c:valAx>
        <c:axId val="-201206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2067984"/>
        <c:crosses val="autoZero"/>
        <c:crossBetween val="midCat"/>
      </c:valAx>
      <c:valAx>
        <c:axId val="-2012067984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2062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'4gperL+glucose'!$D$5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337614127713805"/>
                  <c:y val="-0.37467488583436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'4gperL+glucose'!$C$8:$C$11</c:f>
              <c:numCache>
                <c:formatCode>0.00</c:formatCode>
                <c:ptCount val="4"/>
                <c:pt idx="0">
                  <c:v>4.699999999953434</c:v>
                </c:pt>
                <c:pt idx="1">
                  <c:v>5.633333333360497</c:v>
                </c:pt>
                <c:pt idx="2">
                  <c:v>6.63333333330229</c:v>
                </c:pt>
                <c:pt idx="3">
                  <c:v>7.84999999991851</c:v>
                </c:pt>
              </c:numCache>
            </c:numRef>
          </c:xVal>
          <c:yVal>
            <c:numRef>
              <c:f>'4gperL+glucose'!$D$8:$D$11</c:f>
              <c:numCache>
                <c:formatCode>General</c:formatCode>
                <c:ptCount val="4"/>
                <c:pt idx="0">
                  <c:v>0.161</c:v>
                </c:pt>
                <c:pt idx="1">
                  <c:v>0.322</c:v>
                </c:pt>
                <c:pt idx="2">
                  <c:v>0.669</c:v>
                </c:pt>
                <c:pt idx="3">
                  <c:v>1.428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DA2-436A-84F0-833A52749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48781936"/>
        <c:axId val="-2048787808"/>
      </c:scatterChart>
      <c:valAx>
        <c:axId val="-2048781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8787808"/>
        <c:crosses val="autoZero"/>
        <c:crossBetween val="midCat"/>
      </c:valAx>
      <c:valAx>
        <c:axId val="-204878780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8781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560496757010354"/>
                  <c:y val="-0.34554972295129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'1gperL+glucose'!$C$8:$C$11</c:f>
              <c:numCache>
                <c:formatCode>0.00</c:formatCode>
                <c:ptCount val="4"/>
                <c:pt idx="0">
                  <c:v>2.900000000023283</c:v>
                </c:pt>
                <c:pt idx="1">
                  <c:v>4.33333333331393</c:v>
                </c:pt>
                <c:pt idx="2">
                  <c:v>5.466666666674427</c:v>
                </c:pt>
                <c:pt idx="3">
                  <c:v>6.816666666709352</c:v>
                </c:pt>
              </c:numCache>
            </c:numRef>
          </c:xVal>
          <c:yVal>
            <c:numRef>
              <c:f>'1gperL+glucose'!$E$8:$E$11</c:f>
              <c:numCache>
                <c:formatCode>General</c:formatCode>
                <c:ptCount val="4"/>
                <c:pt idx="0">
                  <c:v>0.035</c:v>
                </c:pt>
                <c:pt idx="1">
                  <c:v>0.093</c:v>
                </c:pt>
                <c:pt idx="2">
                  <c:v>0.204</c:v>
                </c:pt>
                <c:pt idx="3">
                  <c:v>0.537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FC4-4631-B8E7-9059357C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103520"/>
        <c:axId val="-2012109392"/>
      </c:scatterChart>
      <c:valAx>
        <c:axId val="-2012103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2109392"/>
        <c:crosses val="autoZero"/>
        <c:crossBetween val="midCat"/>
      </c:valAx>
      <c:valAx>
        <c:axId val="-201210939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21035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512693947830392"/>
                  <c:y val="-0.32318666049096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'1gperL+glucose'!$C$8:$C$11</c:f>
              <c:numCache>
                <c:formatCode>0.00</c:formatCode>
                <c:ptCount val="4"/>
                <c:pt idx="0">
                  <c:v>2.900000000023283</c:v>
                </c:pt>
                <c:pt idx="1">
                  <c:v>4.33333333331393</c:v>
                </c:pt>
                <c:pt idx="2">
                  <c:v>5.466666666674427</c:v>
                </c:pt>
                <c:pt idx="3">
                  <c:v>6.816666666709352</c:v>
                </c:pt>
              </c:numCache>
            </c:numRef>
          </c:xVal>
          <c:yVal>
            <c:numRef>
              <c:f>'1gperL+glucose'!$F$8:$F$11</c:f>
              <c:numCache>
                <c:formatCode>General</c:formatCode>
                <c:ptCount val="4"/>
                <c:pt idx="0">
                  <c:v>0.041</c:v>
                </c:pt>
                <c:pt idx="1">
                  <c:v>0.112</c:v>
                </c:pt>
                <c:pt idx="2">
                  <c:v>0.25</c:v>
                </c:pt>
                <c:pt idx="3">
                  <c:v>0.663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FBB-497C-BD16-45041D820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144848"/>
        <c:axId val="-2012150720"/>
      </c:scatterChart>
      <c:valAx>
        <c:axId val="-2012144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2150720"/>
        <c:crosses val="autoZero"/>
        <c:crossBetween val="midCat"/>
      </c:valAx>
      <c:valAx>
        <c:axId val="-2012150720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2144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</a:t>
            </a:r>
            <a:r>
              <a:rPr lang="en-US" baseline="0"/>
              <a:t> +10g/L Glucose +0g/L NaLactate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'0gperL+glucose'!$D$5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'0gperL+glucose'!$C$6:$C$15</c:f>
              <c:numCache>
                <c:formatCode>0.00</c:formatCode>
                <c:ptCount val="10"/>
                <c:pt idx="0">
                  <c:v>0.0</c:v>
                </c:pt>
                <c:pt idx="1">
                  <c:v>1.200000000069849</c:v>
                </c:pt>
                <c:pt idx="2">
                  <c:v>2.133333333302289</c:v>
                </c:pt>
                <c:pt idx="3">
                  <c:v>3.166666666686069</c:v>
                </c:pt>
                <c:pt idx="4">
                  <c:v>4.100000000093132</c:v>
                </c:pt>
                <c:pt idx="5">
                  <c:v>5.100000000034924</c:v>
                </c:pt>
                <c:pt idx="6">
                  <c:v>6.083333333430346</c:v>
                </c:pt>
                <c:pt idx="7">
                  <c:v>7.100000000093132</c:v>
                </c:pt>
                <c:pt idx="8">
                  <c:v>8.08333333331393</c:v>
                </c:pt>
                <c:pt idx="9">
                  <c:v>9.366666666639503</c:v>
                </c:pt>
              </c:numCache>
            </c:numRef>
          </c:xVal>
          <c:yVal>
            <c:numRef>
              <c:f>'0gperL+glucose'!$D$6:$D$15</c:f>
              <c:numCache>
                <c:formatCode>General</c:formatCode>
                <c:ptCount val="10"/>
                <c:pt idx="0">
                  <c:v>0.008</c:v>
                </c:pt>
                <c:pt idx="1">
                  <c:v>0.013</c:v>
                </c:pt>
                <c:pt idx="2">
                  <c:v>0.021</c:v>
                </c:pt>
                <c:pt idx="3">
                  <c:v>0.039</c:v>
                </c:pt>
                <c:pt idx="4">
                  <c:v>0.073</c:v>
                </c:pt>
                <c:pt idx="5">
                  <c:v>0.142</c:v>
                </c:pt>
                <c:pt idx="6">
                  <c:v>0.277</c:v>
                </c:pt>
                <c:pt idx="7">
                  <c:v>0.549</c:v>
                </c:pt>
                <c:pt idx="8">
                  <c:v>0.936</c:v>
                </c:pt>
                <c:pt idx="9">
                  <c:v>1.771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58-4756-8081-BCD5BF71C1E2}"/>
            </c:ext>
          </c:extLst>
        </c:ser>
        <c:ser>
          <c:idx val="1"/>
          <c:order val="1"/>
          <c:tx>
            <c:strRef>
              <c:f>'0gperL+glucose'!$E$5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'0gperL+glucose'!$C$6:$C$15</c:f>
              <c:numCache>
                <c:formatCode>0.00</c:formatCode>
                <c:ptCount val="10"/>
                <c:pt idx="0">
                  <c:v>0.0</c:v>
                </c:pt>
                <c:pt idx="1">
                  <c:v>1.200000000069849</c:v>
                </c:pt>
                <c:pt idx="2">
                  <c:v>2.133333333302289</c:v>
                </c:pt>
                <c:pt idx="3">
                  <c:v>3.166666666686069</c:v>
                </c:pt>
                <c:pt idx="4">
                  <c:v>4.100000000093132</c:v>
                </c:pt>
                <c:pt idx="5">
                  <c:v>5.100000000034924</c:v>
                </c:pt>
                <c:pt idx="6">
                  <c:v>6.083333333430346</c:v>
                </c:pt>
                <c:pt idx="7">
                  <c:v>7.100000000093132</c:v>
                </c:pt>
                <c:pt idx="8">
                  <c:v>8.08333333331393</c:v>
                </c:pt>
                <c:pt idx="9">
                  <c:v>9.366666666639503</c:v>
                </c:pt>
              </c:numCache>
            </c:numRef>
          </c:xVal>
          <c:yVal>
            <c:numRef>
              <c:f>'0gperL+glucose'!$E$6:$E$15</c:f>
              <c:numCache>
                <c:formatCode>General</c:formatCode>
                <c:ptCount val="10"/>
                <c:pt idx="0">
                  <c:v>0.009</c:v>
                </c:pt>
                <c:pt idx="1">
                  <c:v>0.015</c:v>
                </c:pt>
                <c:pt idx="2">
                  <c:v>0.027</c:v>
                </c:pt>
                <c:pt idx="3">
                  <c:v>0.045</c:v>
                </c:pt>
                <c:pt idx="4">
                  <c:v>0.083</c:v>
                </c:pt>
                <c:pt idx="5">
                  <c:v>0.16</c:v>
                </c:pt>
                <c:pt idx="6">
                  <c:v>0.322</c:v>
                </c:pt>
                <c:pt idx="7">
                  <c:v>0.6</c:v>
                </c:pt>
                <c:pt idx="8">
                  <c:v>0.984</c:v>
                </c:pt>
                <c:pt idx="9">
                  <c:v>1.638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558-4756-8081-BCD5BF71C1E2}"/>
            </c:ext>
          </c:extLst>
        </c:ser>
        <c:ser>
          <c:idx val="2"/>
          <c:order val="2"/>
          <c:tx>
            <c:strRef>
              <c:f>'0gperL+glucose'!$F$5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'0gperL+glucose'!$C$6:$C$15</c:f>
              <c:numCache>
                <c:formatCode>0.00</c:formatCode>
                <c:ptCount val="10"/>
                <c:pt idx="0">
                  <c:v>0.0</c:v>
                </c:pt>
                <c:pt idx="1">
                  <c:v>1.200000000069849</c:v>
                </c:pt>
                <c:pt idx="2">
                  <c:v>2.133333333302289</c:v>
                </c:pt>
                <c:pt idx="3">
                  <c:v>3.166666666686069</c:v>
                </c:pt>
                <c:pt idx="4">
                  <c:v>4.100000000093132</c:v>
                </c:pt>
                <c:pt idx="5">
                  <c:v>5.100000000034924</c:v>
                </c:pt>
                <c:pt idx="6">
                  <c:v>6.083333333430346</c:v>
                </c:pt>
                <c:pt idx="7">
                  <c:v>7.100000000093132</c:v>
                </c:pt>
                <c:pt idx="8">
                  <c:v>8.08333333331393</c:v>
                </c:pt>
                <c:pt idx="9">
                  <c:v>9.366666666639503</c:v>
                </c:pt>
              </c:numCache>
            </c:numRef>
          </c:xVal>
          <c:yVal>
            <c:numRef>
              <c:f>'0gperL+glucose'!$F$6:$F$15</c:f>
              <c:numCache>
                <c:formatCode>General</c:formatCode>
                <c:ptCount val="10"/>
                <c:pt idx="0">
                  <c:v>0.009</c:v>
                </c:pt>
                <c:pt idx="1">
                  <c:v>0.015</c:v>
                </c:pt>
                <c:pt idx="2">
                  <c:v>0.025</c:v>
                </c:pt>
                <c:pt idx="3">
                  <c:v>0.047</c:v>
                </c:pt>
                <c:pt idx="4">
                  <c:v>0.089</c:v>
                </c:pt>
                <c:pt idx="5">
                  <c:v>0.176</c:v>
                </c:pt>
                <c:pt idx="6">
                  <c:v>0.36</c:v>
                </c:pt>
                <c:pt idx="7">
                  <c:v>0.663</c:v>
                </c:pt>
                <c:pt idx="8">
                  <c:v>1.068</c:v>
                </c:pt>
                <c:pt idx="9">
                  <c:v>1.659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558-4756-8081-BCD5BF71C1E2}"/>
            </c:ext>
          </c:extLst>
        </c:ser>
        <c:ser>
          <c:idx val="3"/>
          <c:order val="3"/>
          <c:tx>
            <c:strRef>
              <c:f>'0gperL+glucose'!$G$5</c:f>
              <c:strCache>
                <c:ptCount val="1"/>
                <c:pt idx="0">
                  <c:v>Control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'0gperL+glucose'!$C$6:$C$15</c:f>
              <c:numCache>
                <c:formatCode>0.00</c:formatCode>
                <c:ptCount val="10"/>
                <c:pt idx="0">
                  <c:v>0.0</c:v>
                </c:pt>
                <c:pt idx="1">
                  <c:v>1.200000000069849</c:v>
                </c:pt>
                <c:pt idx="2">
                  <c:v>2.133333333302289</c:v>
                </c:pt>
                <c:pt idx="3">
                  <c:v>3.166666666686069</c:v>
                </c:pt>
                <c:pt idx="4">
                  <c:v>4.100000000093132</c:v>
                </c:pt>
                <c:pt idx="5">
                  <c:v>5.100000000034924</c:v>
                </c:pt>
                <c:pt idx="6">
                  <c:v>6.083333333430346</c:v>
                </c:pt>
                <c:pt idx="7">
                  <c:v>7.100000000093132</c:v>
                </c:pt>
                <c:pt idx="8">
                  <c:v>8.08333333331393</c:v>
                </c:pt>
                <c:pt idx="9">
                  <c:v>9.366666666639503</c:v>
                </c:pt>
              </c:numCache>
            </c:numRef>
          </c:xVal>
          <c:yVal>
            <c:numRef>
              <c:f>'0gperL+glucose'!$G$6:$G$15</c:f>
              <c:numCache>
                <c:formatCode>General</c:formatCode>
                <c:ptCount val="1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558-4756-8081-BCD5BF71C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291424"/>
        <c:axId val="-2114285424"/>
      </c:scatterChart>
      <c:valAx>
        <c:axId val="-2114291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285424"/>
        <c:crosses val="autoZero"/>
        <c:crossBetween val="midCat"/>
      </c:valAx>
      <c:valAx>
        <c:axId val="-211428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 600nm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291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</a:t>
            </a:r>
            <a:r>
              <a:rPr lang="en-US" baseline="0"/>
              <a:t> +10g/L Glusoce +0g/L NaLactate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'0gperL+glucose'!$D$5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'0gperL+glucose'!$C$6:$C$15</c:f>
              <c:numCache>
                <c:formatCode>0.00</c:formatCode>
                <c:ptCount val="10"/>
                <c:pt idx="0">
                  <c:v>0.0</c:v>
                </c:pt>
                <c:pt idx="1">
                  <c:v>1.200000000069849</c:v>
                </c:pt>
                <c:pt idx="2">
                  <c:v>2.133333333302289</c:v>
                </c:pt>
                <c:pt idx="3">
                  <c:v>3.166666666686069</c:v>
                </c:pt>
                <c:pt idx="4">
                  <c:v>4.100000000093132</c:v>
                </c:pt>
                <c:pt idx="5">
                  <c:v>5.100000000034924</c:v>
                </c:pt>
                <c:pt idx="6">
                  <c:v>6.083333333430346</c:v>
                </c:pt>
                <c:pt idx="7">
                  <c:v>7.100000000093132</c:v>
                </c:pt>
                <c:pt idx="8">
                  <c:v>8.08333333331393</c:v>
                </c:pt>
                <c:pt idx="9">
                  <c:v>9.366666666639503</c:v>
                </c:pt>
              </c:numCache>
            </c:numRef>
          </c:xVal>
          <c:yVal>
            <c:numRef>
              <c:f>'0gperL+glucose'!$D$6:$D$15</c:f>
              <c:numCache>
                <c:formatCode>General</c:formatCode>
                <c:ptCount val="10"/>
                <c:pt idx="0">
                  <c:v>0.008</c:v>
                </c:pt>
                <c:pt idx="1">
                  <c:v>0.013</c:v>
                </c:pt>
                <c:pt idx="2">
                  <c:v>0.021</c:v>
                </c:pt>
                <c:pt idx="3">
                  <c:v>0.039</c:v>
                </c:pt>
                <c:pt idx="4">
                  <c:v>0.073</c:v>
                </c:pt>
                <c:pt idx="5">
                  <c:v>0.142</c:v>
                </c:pt>
                <c:pt idx="6">
                  <c:v>0.277</c:v>
                </c:pt>
                <c:pt idx="7">
                  <c:v>0.549</c:v>
                </c:pt>
                <c:pt idx="8">
                  <c:v>0.936</c:v>
                </c:pt>
                <c:pt idx="9">
                  <c:v>1.771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42F-4D09-A84B-6D1ED096E950}"/>
            </c:ext>
          </c:extLst>
        </c:ser>
        <c:ser>
          <c:idx val="1"/>
          <c:order val="1"/>
          <c:tx>
            <c:strRef>
              <c:f>'0gperL+glucose'!$E$5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'0gperL+glucose'!$C$6:$C$15</c:f>
              <c:numCache>
                <c:formatCode>0.00</c:formatCode>
                <c:ptCount val="10"/>
                <c:pt idx="0">
                  <c:v>0.0</c:v>
                </c:pt>
                <c:pt idx="1">
                  <c:v>1.200000000069849</c:v>
                </c:pt>
                <c:pt idx="2">
                  <c:v>2.133333333302289</c:v>
                </c:pt>
                <c:pt idx="3">
                  <c:v>3.166666666686069</c:v>
                </c:pt>
                <c:pt idx="4">
                  <c:v>4.100000000093132</c:v>
                </c:pt>
                <c:pt idx="5">
                  <c:v>5.100000000034924</c:v>
                </c:pt>
                <c:pt idx="6">
                  <c:v>6.083333333430346</c:v>
                </c:pt>
                <c:pt idx="7">
                  <c:v>7.100000000093132</c:v>
                </c:pt>
                <c:pt idx="8">
                  <c:v>8.08333333331393</c:v>
                </c:pt>
                <c:pt idx="9">
                  <c:v>9.366666666639503</c:v>
                </c:pt>
              </c:numCache>
            </c:numRef>
          </c:xVal>
          <c:yVal>
            <c:numRef>
              <c:f>'0gperL+glucose'!$E$6:$E$15</c:f>
              <c:numCache>
                <c:formatCode>General</c:formatCode>
                <c:ptCount val="10"/>
                <c:pt idx="0">
                  <c:v>0.009</c:v>
                </c:pt>
                <c:pt idx="1">
                  <c:v>0.015</c:v>
                </c:pt>
                <c:pt idx="2">
                  <c:v>0.027</c:v>
                </c:pt>
                <c:pt idx="3">
                  <c:v>0.045</c:v>
                </c:pt>
                <c:pt idx="4">
                  <c:v>0.083</c:v>
                </c:pt>
                <c:pt idx="5">
                  <c:v>0.16</c:v>
                </c:pt>
                <c:pt idx="6">
                  <c:v>0.322</c:v>
                </c:pt>
                <c:pt idx="7">
                  <c:v>0.6</c:v>
                </c:pt>
                <c:pt idx="8">
                  <c:v>0.984</c:v>
                </c:pt>
                <c:pt idx="9">
                  <c:v>1.638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42F-4D09-A84B-6D1ED096E950}"/>
            </c:ext>
          </c:extLst>
        </c:ser>
        <c:ser>
          <c:idx val="2"/>
          <c:order val="2"/>
          <c:tx>
            <c:strRef>
              <c:f>'0gperL+glucose'!$F$5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'0gperL+glucose'!$C$6:$C$15</c:f>
              <c:numCache>
                <c:formatCode>0.00</c:formatCode>
                <c:ptCount val="10"/>
                <c:pt idx="0">
                  <c:v>0.0</c:v>
                </c:pt>
                <c:pt idx="1">
                  <c:v>1.200000000069849</c:v>
                </c:pt>
                <c:pt idx="2">
                  <c:v>2.133333333302289</c:v>
                </c:pt>
                <c:pt idx="3">
                  <c:v>3.166666666686069</c:v>
                </c:pt>
                <c:pt idx="4">
                  <c:v>4.100000000093132</c:v>
                </c:pt>
                <c:pt idx="5">
                  <c:v>5.100000000034924</c:v>
                </c:pt>
                <c:pt idx="6">
                  <c:v>6.083333333430346</c:v>
                </c:pt>
                <c:pt idx="7">
                  <c:v>7.100000000093132</c:v>
                </c:pt>
                <c:pt idx="8">
                  <c:v>8.08333333331393</c:v>
                </c:pt>
                <c:pt idx="9">
                  <c:v>9.366666666639503</c:v>
                </c:pt>
              </c:numCache>
            </c:numRef>
          </c:xVal>
          <c:yVal>
            <c:numRef>
              <c:f>'0gperL+glucose'!$F$6:$F$15</c:f>
              <c:numCache>
                <c:formatCode>General</c:formatCode>
                <c:ptCount val="10"/>
                <c:pt idx="0">
                  <c:v>0.009</c:v>
                </c:pt>
                <c:pt idx="1">
                  <c:v>0.015</c:v>
                </c:pt>
                <c:pt idx="2">
                  <c:v>0.025</c:v>
                </c:pt>
                <c:pt idx="3">
                  <c:v>0.047</c:v>
                </c:pt>
                <c:pt idx="4">
                  <c:v>0.089</c:v>
                </c:pt>
                <c:pt idx="5">
                  <c:v>0.176</c:v>
                </c:pt>
                <c:pt idx="6">
                  <c:v>0.36</c:v>
                </c:pt>
                <c:pt idx="7">
                  <c:v>0.663</c:v>
                </c:pt>
                <c:pt idx="8">
                  <c:v>1.068</c:v>
                </c:pt>
                <c:pt idx="9">
                  <c:v>1.659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42F-4D09-A84B-6D1ED096E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240800"/>
        <c:axId val="-2076880464"/>
      </c:scatterChart>
      <c:valAx>
        <c:axId val="-2114240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880464"/>
        <c:crosses val="autoZero"/>
        <c:crossBetween val="midCat"/>
      </c:valAx>
      <c:valAx>
        <c:axId val="-2076880464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4240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'0gperL+glucose'!$D$5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53901196312725"/>
                  <c:y val="-0.186264872149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'0gperL+glucose'!$C$9:$C$13</c:f>
              <c:numCache>
                <c:formatCode>0.00</c:formatCode>
                <c:ptCount val="5"/>
                <c:pt idx="0">
                  <c:v>3.166666666686069</c:v>
                </c:pt>
                <c:pt idx="1">
                  <c:v>4.100000000093132</c:v>
                </c:pt>
                <c:pt idx="2">
                  <c:v>5.100000000034924</c:v>
                </c:pt>
                <c:pt idx="3">
                  <c:v>6.083333333430346</c:v>
                </c:pt>
                <c:pt idx="4">
                  <c:v>7.100000000093132</c:v>
                </c:pt>
              </c:numCache>
            </c:numRef>
          </c:xVal>
          <c:yVal>
            <c:numRef>
              <c:f>'0gperL+glucose'!$D$9:$D$13</c:f>
              <c:numCache>
                <c:formatCode>General</c:formatCode>
                <c:ptCount val="5"/>
                <c:pt idx="0">
                  <c:v>0.039</c:v>
                </c:pt>
                <c:pt idx="1">
                  <c:v>0.073</c:v>
                </c:pt>
                <c:pt idx="2">
                  <c:v>0.142</c:v>
                </c:pt>
                <c:pt idx="3">
                  <c:v>0.277</c:v>
                </c:pt>
                <c:pt idx="4">
                  <c:v>0.549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B9E-4D93-8A2A-6BF74612B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6772288"/>
        <c:axId val="-2076766288"/>
      </c:scatterChart>
      <c:valAx>
        <c:axId val="-207677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766288"/>
        <c:crosses val="autoZero"/>
        <c:crossBetween val="midCat"/>
      </c:valAx>
      <c:valAx>
        <c:axId val="-207676628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 600nm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772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'0gperL+glucose'!$E$5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569054408739448"/>
                  <c:y val="-0.2587755360954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'0gperL+glucose'!$C$9:$C$12</c:f>
              <c:numCache>
                <c:formatCode>0.00</c:formatCode>
                <c:ptCount val="4"/>
                <c:pt idx="0">
                  <c:v>3.166666666686069</c:v>
                </c:pt>
                <c:pt idx="1">
                  <c:v>4.100000000093132</c:v>
                </c:pt>
                <c:pt idx="2">
                  <c:v>5.100000000034924</c:v>
                </c:pt>
                <c:pt idx="3">
                  <c:v>6.083333333430346</c:v>
                </c:pt>
              </c:numCache>
            </c:numRef>
          </c:xVal>
          <c:yVal>
            <c:numRef>
              <c:f>'0gperL+glucose'!$E$9:$E$12</c:f>
              <c:numCache>
                <c:formatCode>General</c:formatCode>
                <c:ptCount val="4"/>
                <c:pt idx="0">
                  <c:v>0.045</c:v>
                </c:pt>
                <c:pt idx="1">
                  <c:v>0.083</c:v>
                </c:pt>
                <c:pt idx="2">
                  <c:v>0.16</c:v>
                </c:pt>
                <c:pt idx="3">
                  <c:v>0.322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EB7-4593-804E-F34768DE7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6794480"/>
        <c:axId val="-2076788480"/>
      </c:scatterChart>
      <c:valAx>
        <c:axId val="-207679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788480"/>
        <c:crosses val="autoZero"/>
        <c:crossBetween val="midCat"/>
      </c:valAx>
      <c:valAx>
        <c:axId val="-2076788480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794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'0gperL+glucose'!$F$5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549421335422078"/>
                  <c:y val="-0.2430384705354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'0gperL+glucose'!$C$9:$C$12</c:f>
              <c:numCache>
                <c:formatCode>0.00</c:formatCode>
                <c:ptCount val="4"/>
                <c:pt idx="0">
                  <c:v>3.166666666686069</c:v>
                </c:pt>
                <c:pt idx="1">
                  <c:v>4.100000000093132</c:v>
                </c:pt>
                <c:pt idx="2">
                  <c:v>5.100000000034924</c:v>
                </c:pt>
                <c:pt idx="3">
                  <c:v>6.083333333430346</c:v>
                </c:pt>
              </c:numCache>
            </c:numRef>
          </c:xVal>
          <c:yVal>
            <c:numRef>
              <c:f>'0gperL+glucose'!$F$9:$F$12</c:f>
              <c:numCache>
                <c:formatCode>General</c:formatCode>
                <c:ptCount val="4"/>
                <c:pt idx="0">
                  <c:v>0.047</c:v>
                </c:pt>
                <c:pt idx="1">
                  <c:v>0.089</c:v>
                </c:pt>
                <c:pt idx="2">
                  <c:v>0.176</c:v>
                </c:pt>
                <c:pt idx="3">
                  <c:v>0.36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57-4B53-AEE7-B8CCEA0A5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6704064"/>
        <c:axId val="-2076698064"/>
      </c:scatterChart>
      <c:valAx>
        <c:axId val="-2076704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698064"/>
        <c:crosses val="autoZero"/>
        <c:crossBetween val="midCat"/>
      </c:valAx>
      <c:valAx>
        <c:axId val="-2076698064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704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'4gperL+glucose'!$E$5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577997861378439"/>
                  <c:y val="-0.21442917968900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'4gperL+glucose'!$C$7:$C$10</c:f>
              <c:numCache>
                <c:formatCode>0.00</c:formatCode>
                <c:ptCount val="4"/>
                <c:pt idx="0">
                  <c:v>3.600000000034925</c:v>
                </c:pt>
                <c:pt idx="1">
                  <c:v>4.699999999953434</c:v>
                </c:pt>
                <c:pt idx="2">
                  <c:v>5.633333333360497</c:v>
                </c:pt>
                <c:pt idx="3">
                  <c:v>6.63333333330229</c:v>
                </c:pt>
              </c:numCache>
            </c:numRef>
          </c:xVal>
          <c:yVal>
            <c:numRef>
              <c:f>'4gperL+glucose'!$E$7:$E$10</c:f>
              <c:numCache>
                <c:formatCode>General</c:formatCode>
                <c:ptCount val="4"/>
                <c:pt idx="0">
                  <c:v>0.087</c:v>
                </c:pt>
                <c:pt idx="1">
                  <c:v>0.187</c:v>
                </c:pt>
                <c:pt idx="2">
                  <c:v>0.378</c:v>
                </c:pt>
                <c:pt idx="3">
                  <c:v>0.762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8B2-4368-A558-13B51F654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48824864"/>
        <c:axId val="-2048830736"/>
      </c:scatterChart>
      <c:valAx>
        <c:axId val="-2048824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8830736"/>
        <c:crosses val="autoZero"/>
        <c:crossBetween val="midCat"/>
      </c:valAx>
      <c:valAx>
        <c:axId val="-2048830736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>
            <c:manualLayout>
              <c:xMode val="edge"/>
              <c:yMode val="edge"/>
              <c:x val="0.0222222222222222"/>
              <c:y val="0.3849923447069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8824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'4gperL+glucose'!$F$5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574179661365859"/>
                  <c:y val="-0.2169768525814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'4gperL+glucose'!$C$7:$C$10</c:f>
              <c:numCache>
                <c:formatCode>0.00</c:formatCode>
                <c:ptCount val="4"/>
                <c:pt idx="0">
                  <c:v>3.600000000034925</c:v>
                </c:pt>
                <c:pt idx="1">
                  <c:v>4.699999999953434</c:v>
                </c:pt>
                <c:pt idx="2">
                  <c:v>5.633333333360497</c:v>
                </c:pt>
                <c:pt idx="3">
                  <c:v>6.63333333330229</c:v>
                </c:pt>
              </c:numCache>
            </c:numRef>
          </c:xVal>
          <c:yVal>
            <c:numRef>
              <c:f>'4gperL+glucose'!$F$7:$F$10</c:f>
              <c:numCache>
                <c:formatCode>General</c:formatCode>
                <c:ptCount val="4"/>
                <c:pt idx="0">
                  <c:v>0.1</c:v>
                </c:pt>
                <c:pt idx="1">
                  <c:v>0.219</c:v>
                </c:pt>
                <c:pt idx="2">
                  <c:v>0.444</c:v>
                </c:pt>
                <c:pt idx="3">
                  <c:v>0.892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5C6-4FF2-AFE0-8D97948D3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47128992"/>
        <c:axId val="-2047122992"/>
      </c:scatterChart>
      <c:valAx>
        <c:axId val="-2047128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7122992"/>
        <c:crosses val="autoZero"/>
        <c:crossBetween val="midCat"/>
      </c:valAx>
      <c:valAx>
        <c:axId val="-204712299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7128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1XM9+10g/L</a:t>
            </a:r>
            <a:r>
              <a:rPr lang="en-US" baseline="0"/>
              <a:t> Glucose + 4g/L NaLactate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'4gperL+glucose'!$D$5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3.600000000034925</c:v>
                </c:pt>
                <c:pt idx="2">
                  <c:v>4.699999999953434</c:v>
                </c:pt>
                <c:pt idx="3">
                  <c:v>5.633333333360497</c:v>
                </c:pt>
                <c:pt idx="4">
                  <c:v>6.63333333330229</c:v>
                </c:pt>
                <c:pt idx="5">
                  <c:v>7.84999999991851</c:v>
                </c:pt>
                <c:pt idx="6">
                  <c:v>8.633333333360497</c:v>
                </c:pt>
              </c:numCache>
            </c:numRef>
          </c:xVal>
          <c:yVal>
            <c:numRef>
              <c:f>'4gperL+glucose'!$D$6:$D$12</c:f>
              <c:numCache>
                <c:formatCode>General</c:formatCode>
                <c:ptCount val="7"/>
                <c:pt idx="0">
                  <c:v>0.009</c:v>
                </c:pt>
                <c:pt idx="1">
                  <c:v>0.088</c:v>
                </c:pt>
                <c:pt idx="2">
                  <c:v>0.161</c:v>
                </c:pt>
                <c:pt idx="3">
                  <c:v>0.322</c:v>
                </c:pt>
                <c:pt idx="4">
                  <c:v>0.669</c:v>
                </c:pt>
                <c:pt idx="5">
                  <c:v>1.428</c:v>
                </c:pt>
                <c:pt idx="6">
                  <c:v>2.097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A17-4023-BB1D-39DB74D16785}"/>
            </c:ext>
          </c:extLst>
        </c:ser>
        <c:ser>
          <c:idx val="1"/>
          <c:order val="1"/>
          <c:tx>
            <c:strRef>
              <c:f>'4gperL+glucose'!$E$5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'4gperL+glucose'!$C$6:$C$12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3.600000000034925</c:v>
                </c:pt>
                <c:pt idx="2">
                  <c:v>4.699999999953434</c:v>
                </c:pt>
                <c:pt idx="3">
                  <c:v>5.633333333360497</c:v>
                </c:pt>
                <c:pt idx="4">
                  <c:v>6.63333333330229</c:v>
                </c:pt>
                <c:pt idx="5">
                  <c:v>7.84999999991851</c:v>
                </c:pt>
                <c:pt idx="6">
                  <c:v>8.633333333360497</c:v>
                </c:pt>
              </c:numCache>
            </c:numRef>
          </c:xVal>
          <c:yVal>
            <c:numRef>
              <c:f>'4gperL+glucose'!$E$6:$E$12</c:f>
              <c:numCache>
                <c:formatCode>General</c:formatCode>
                <c:ptCount val="7"/>
                <c:pt idx="0">
                  <c:v>0.009</c:v>
                </c:pt>
                <c:pt idx="1">
                  <c:v>0.087</c:v>
                </c:pt>
                <c:pt idx="2">
                  <c:v>0.187</c:v>
                </c:pt>
                <c:pt idx="3">
                  <c:v>0.378</c:v>
                </c:pt>
                <c:pt idx="4">
                  <c:v>0.762</c:v>
                </c:pt>
                <c:pt idx="5">
                  <c:v>1.652</c:v>
                </c:pt>
                <c:pt idx="6">
                  <c:v>2.394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A17-4023-BB1D-39DB74D16785}"/>
            </c:ext>
          </c:extLst>
        </c:ser>
        <c:ser>
          <c:idx val="2"/>
          <c:order val="2"/>
          <c:tx>
            <c:strRef>
              <c:f>'4gperL+glucose'!$F$5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'4gperL+glucose'!$C$6:$C$12</c:f>
              <c:numCache>
                <c:formatCode>0.00</c:formatCode>
                <c:ptCount val="7"/>
                <c:pt idx="0">
                  <c:v>0.0</c:v>
                </c:pt>
                <c:pt idx="1">
                  <c:v>3.600000000034925</c:v>
                </c:pt>
                <c:pt idx="2">
                  <c:v>4.699999999953434</c:v>
                </c:pt>
                <c:pt idx="3">
                  <c:v>5.633333333360497</c:v>
                </c:pt>
                <c:pt idx="4">
                  <c:v>6.63333333330229</c:v>
                </c:pt>
                <c:pt idx="5">
                  <c:v>7.84999999991851</c:v>
                </c:pt>
                <c:pt idx="6">
                  <c:v>8.633333333360497</c:v>
                </c:pt>
              </c:numCache>
            </c:numRef>
          </c:xVal>
          <c:yVal>
            <c:numRef>
              <c:f>'4gperL+glucose'!$F$6:$F$12</c:f>
              <c:numCache>
                <c:formatCode>General</c:formatCode>
                <c:ptCount val="7"/>
                <c:pt idx="0">
                  <c:v>0.01</c:v>
                </c:pt>
                <c:pt idx="1">
                  <c:v>0.1</c:v>
                </c:pt>
                <c:pt idx="2">
                  <c:v>0.219</c:v>
                </c:pt>
                <c:pt idx="3">
                  <c:v>0.444</c:v>
                </c:pt>
                <c:pt idx="4">
                  <c:v>0.892</c:v>
                </c:pt>
                <c:pt idx="5">
                  <c:v>1.855</c:v>
                </c:pt>
                <c:pt idx="6">
                  <c:v>2.607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A17-4023-BB1D-39DB74D16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47069744"/>
        <c:axId val="-2047063808"/>
      </c:scatterChart>
      <c:valAx>
        <c:axId val="-204706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7063808"/>
        <c:crosses val="autoZero"/>
        <c:crossBetween val="midCat"/>
      </c:valAx>
      <c:valAx>
        <c:axId val="-204706380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7069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1XM9</a:t>
            </a:r>
            <a:r>
              <a:rPr lang="en-US" baseline="0"/>
              <a:t> + 10g/L Glucose + 20g/L NaLactate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'20gperL+glucose'!$C$6:$C$13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3.616666666581295</c:v>
                </c:pt>
                <c:pt idx="2">
                  <c:v>4.733333333220798</c:v>
                </c:pt>
                <c:pt idx="3">
                  <c:v>5.666666666627861</c:v>
                </c:pt>
                <c:pt idx="4">
                  <c:v>6.666666666569654</c:v>
                </c:pt>
                <c:pt idx="5">
                  <c:v>7.883333333360497</c:v>
                </c:pt>
                <c:pt idx="6">
                  <c:v>8.649999999906867</c:v>
                </c:pt>
                <c:pt idx="7">
                  <c:v>9.516666666604578</c:v>
                </c:pt>
              </c:numCache>
            </c:numRef>
          </c:xVal>
          <c:yVal>
            <c:numRef>
              <c:f>'20gperL+glucose'!$D$6:$D$13</c:f>
              <c:numCache>
                <c:formatCode>General</c:formatCode>
                <c:ptCount val="8"/>
                <c:pt idx="0">
                  <c:v>0.005</c:v>
                </c:pt>
                <c:pt idx="1">
                  <c:v>0.036</c:v>
                </c:pt>
                <c:pt idx="2">
                  <c:v>0.068</c:v>
                </c:pt>
                <c:pt idx="3">
                  <c:v>0.117</c:v>
                </c:pt>
                <c:pt idx="4">
                  <c:v>0.212</c:v>
                </c:pt>
                <c:pt idx="5">
                  <c:v>0.454</c:v>
                </c:pt>
                <c:pt idx="6">
                  <c:v>0.684</c:v>
                </c:pt>
                <c:pt idx="7">
                  <c:v>1.155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189-494C-AC73-4DC745086A41}"/>
            </c:ext>
          </c:extLst>
        </c:ser>
        <c:ser>
          <c:idx val="1"/>
          <c:order val="1"/>
          <c:tx>
            <c:strRef>
              <c:f>'20gperL+glucose'!$E$5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3.616666666581295</c:v>
                </c:pt>
                <c:pt idx="2">
                  <c:v>4.733333333220798</c:v>
                </c:pt>
                <c:pt idx="3">
                  <c:v>5.666666666627861</c:v>
                </c:pt>
                <c:pt idx="4">
                  <c:v>6.666666666569654</c:v>
                </c:pt>
                <c:pt idx="5">
                  <c:v>7.883333333360497</c:v>
                </c:pt>
                <c:pt idx="6">
                  <c:v>8.649999999906867</c:v>
                </c:pt>
                <c:pt idx="7">
                  <c:v>9.516666666604578</c:v>
                </c:pt>
              </c:numCache>
            </c:numRef>
          </c:xVal>
          <c:yVal>
            <c:numRef>
              <c:f>'20gperL+glucose'!$E$6:$E$13</c:f>
              <c:numCache>
                <c:formatCode>General</c:formatCode>
                <c:ptCount val="8"/>
                <c:pt idx="0">
                  <c:v>0.007</c:v>
                </c:pt>
                <c:pt idx="1">
                  <c:v>0.023</c:v>
                </c:pt>
                <c:pt idx="2">
                  <c:v>0.042</c:v>
                </c:pt>
                <c:pt idx="3">
                  <c:v>0.072</c:v>
                </c:pt>
                <c:pt idx="4">
                  <c:v>0.128</c:v>
                </c:pt>
                <c:pt idx="5">
                  <c:v>0.266</c:v>
                </c:pt>
                <c:pt idx="6">
                  <c:v>0.408</c:v>
                </c:pt>
                <c:pt idx="7">
                  <c:v>0.655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189-494C-AC73-4DC745086A41}"/>
            </c:ext>
          </c:extLst>
        </c:ser>
        <c:ser>
          <c:idx val="2"/>
          <c:order val="2"/>
          <c:tx>
            <c:strRef>
              <c:f>'20gperL+glucose'!$F$5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'20gperL+glucose'!$C$6:$C$13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3.616666666581295</c:v>
                </c:pt>
                <c:pt idx="2">
                  <c:v>4.733333333220798</c:v>
                </c:pt>
                <c:pt idx="3">
                  <c:v>5.666666666627861</c:v>
                </c:pt>
                <c:pt idx="4">
                  <c:v>6.666666666569654</c:v>
                </c:pt>
                <c:pt idx="5">
                  <c:v>7.883333333360497</c:v>
                </c:pt>
                <c:pt idx="6">
                  <c:v>8.649999999906867</c:v>
                </c:pt>
                <c:pt idx="7">
                  <c:v>9.516666666604578</c:v>
                </c:pt>
              </c:numCache>
            </c:numRef>
          </c:xVal>
          <c:yVal>
            <c:numRef>
              <c:f>'20gperL+glucose'!$F$6:$F$13</c:f>
              <c:numCache>
                <c:formatCode>General</c:formatCode>
                <c:ptCount val="8"/>
                <c:pt idx="0">
                  <c:v>0.009</c:v>
                </c:pt>
                <c:pt idx="1">
                  <c:v>0.068</c:v>
                </c:pt>
                <c:pt idx="2">
                  <c:v>0.129</c:v>
                </c:pt>
                <c:pt idx="3">
                  <c:v>0.226</c:v>
                </c:pt>
                <c:pt idx="4">
                  <c:v>0.422</c:v>
                </c:pt>
                <c:pt idx="5">
                  <c:v>0.848</c:v>
                </c:pt>
                <c:pt idx="6">
                  <c:v>1.35</c:v>
                </c:pt>
                <c:pt idx="7">
                  <c:v>1.939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189-494C-AC73-4DC745086A41}"/>
            </c:ext>
          </c:extLst>
        </c:ser>
        <c:ser>
          <c:idx val="3"/>
          <c:order val="3"/>
          <c:tx>
            <c:strRef>
              <c:f>'20gperL+glucose'!$G$5</c:f>
              <c:strCache>
                <c:ptCount val="1"/>
                <c:pt idx="0">
                  <c:v>Control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'20gperL+glucose'!$C$6:$C$13</c:f>
              <c:numCache>
                <c:formatCode>0.00</c:formatCode>
                <c:ptCount val="8"/>
                <c:pt idx="0">
                  <c:v>0.0</c:v>
                </c:pt>
                <c:pt idx="1">
                  <c:v>3.616666666581295</c:v>
                </c:pt>
                <c:pt idx="2">
                  <c:v>4.733333333220798</c:v>
                </c:pt>
                <c:pt idx="3">
                  <c:v>5.666666666627861</c:v>
                </c:pt>
                <c:pt idx="4">
                  <c:v>6.666666666569654</c:v>
                </c:pt>
                <c:pt idx="5">
                  <c:v>7.883333333360497</c:v>
                </c:pt>
                <c:pt idx="6">
                  <c:v>8.649999999906867</c:v>
                </c:pt>
                <c:pt idx="7">
                  <c:v>9.516666666604578</c:v>
                </c:pt>
              </c:numCache>
            </c:numRef>
          </c:xVal>
          <c:yVal>
            <c:numRef>
              <c:f>'20gperL+glucose'!$G$6:$G$13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0.011</c:v>
                </c:pt>
                <c:pt idx="7">
                  <c:v>0.0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189-494C-AC73-4DC745086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1691776"/>
        <c:axId val="-2011685712"/>
      </c:scatterChart>
      <c:valAx>
        <c:axId val="-2011691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685712"/>
        <c:crosses val="autoZero"/>
        <c:crossBetween val="midCat"/>
      </c:valAx>
      <c:valAx>
        <c:axId val="-201168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11691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'20gperL+glucose'!$D$5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390654650827606"/>
                  <c:y val="-0.32897817084800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'20gperL+glucose'!$C$8:$C$11</c:f>
              <c:numCache>
                <c:formatCode>0.00</c:formatCode>
                <c:ptCount val="4"/>
                <c:pt idx="0">
                  <c:v>4.733333333220798</c:v>
                </c:pt>
                <c:pt idx="1">
                  <c:v>5.666666666627861</c:v>
                </c:pt>
                <c:pt idx="2">
                  <c:v>6.666666666569654</c:v>
                </c:pt>
                <c:pt idx="3">
                  <c:v>7.883333333360497</c:v>
                </c:pt>
              </c:numCache>
            </c:numRef>
          </c:xVal>
          <c:yVal>
            <c:numRef>
              <c:f>'20gperL+glucose'!$D$8:$D$11</c:f>
              <c:numCache>
                <c:formatCode>General</c:formatCode>
                <c:ptCount val="4"/>
                <c:pt idx="0">
                  <c:v>0.068</c:v>
                </c:pt>
                <c:pt idx="1">
                  <c:v>0.117</c:v>
                </c:pt>
                <c:pt idx="2">
                  <c:v>0.212</c:v>
                </c:pt>
                <c:pt idx="3">
                  <c:v>0.454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FB6-4B46-A9DF-254D91882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47035664"/>
        <c:axId val="-2046958192"/>
      </c:scatterChart>
      <c:valAx>
        <c:axId val="-2047035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6958192"/>
        <c:crosses val="autoZero"/>
        <c:crossBetween val="midCat"/>
      </c:valAx>
      <c:valAx>
        <c:axId val="-2046958192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70356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'20gperL+glucose'!$E$5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538910293747528"/>
                  <c:y val="-0.3500393238435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'20gperL+glucose'!$C$8:$C$11</c:f>
              <c:numCache>
                <c:formatCode>0.00</c:formatCode>
                <c:ptCount val="4"/>
                <c:pt idx="0">
                  <c:v>4.733333333220798</c:v>
                </c:pt>
                <c:pt idx="1">
                  <c:v>5.666666666627861</c:v>
                </c:pt>
                <c:pt idx="2">
                  <c:v>6.666666666569654</c:v>
                </c:pt>
                <c:pt idx="3">
                  <c:v>7.883333333360497</c:v>
                </c:pt>
              </c:numCache>
            </c:numRef>
          </c:xVal>
          <c:yVal>
            <c:numRef>
              <c:f>'20gperL+glucose'!$E$8:$E$11</c:f>
              <c:numCache>
                <c:formatCode>General</c:formatCode>
                <c:ptCount val="4"/>
                <c:pt idx="0">
                  <c:v>0.042</c:v>
                </c:pt>
                <c:pt idx="1">
                  <c:v>0.072</c:v>
                </c:pt>
                <c:pt idx="2">
                  <c:v>0.128</c:v>
                </c:pt>
                <c:pt idx="3">
                  <c:v>0.266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493-4394-8FDD-01077D3B7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48807152"/>
        <c:axId val="-2048843648"/>
      </c:scatterChart>
      <c:valAx>
        <c:axId val="-2048807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8843648"/>
        <c:crosses val="autoZero"/>
        <c:crossBetween val="midCat"/>
      </c:valAx>
      <c:valAx>
        <c:axId val="-2048843648"/>
        <c:scaling>
          <c:logBase val="10.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OD600nm</a:t>
                </a:r>
              </a:p>
            </c:rich>
          </c:tx>
          <c:layout>
            <c:manualLayout>
              <c:xMode val="edge"/>
              <c:yMode val="edge"/>
              <c:x val="0.0222222222222222"/>
              <c:y val="0.3849923447069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8807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4" Type="http://schemas.openxmlformats.org/officeDocument/2006/relationships/chart" Target="../charts/chart5.xml"/><Relationship Id="rId5" Type="http://schemas.openxmlformats.org/officeDocument/2006/relationships/chart" Target="../charts/chart6.xml"/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4" Type="http://schemas.openxmlformats.org/officeDocument/2006/relationships/chart" Target="../charts/chart10.xml"/><Relationship Id="rId5" Type="http://schemas.openxmlformats.org/officeDocument/2006/relationships/chart" Target="../charts/chart11.xml"/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4" Type="http://schemas.openxmlformats.org/officeDocument/2006/relationships/chart" Target="../charts/chart15.xml"/><Relationship Id="rId5" Type="http://schemas.openxmlformats.org/officeDocument/2006/relationships/chart" Target="../charts/chart16.xml"/><Relationship Id="rId1" Type="http://schemas.openxmlformats.org/officeDocument/2006/relationships/chart" Target="../charts/chart12.xml"/><Relationship Id="rId2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4" Type="http://schemas.openxmlformats.org/officeDocument/2006/relationships/chart" Target="../charts/chart20.xml"/><Relationship Id="rId5" Type="http://schemas.openxmlformats.org/officeDocument/2006/relationships/chart" Target="../charts/chart21.xml"/><Relationship Id="rId1" Type="http://schemas.openxmlformats.org/officeDocument/2006/relationships/chart" Target="../charts/chart17.xml"/><Relationship Id="rId2" Type="http://schemas.openxmlformats.org/officeDocument/2006/relationships/chart" Target="../charts/chart1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4" Type="http://schemas.openxmlformats.org/officeDocument/2006/relationships/chart" Target="../charts/chart25.xml"/><Relationship Id="rId5" Type="http://schemas.openxmlformats.org/officeDocument/2006/relationships/chart" Target="../charts/chart26.xml"/><Relationship Id="rId1" Type="http://schemas.openxmlformats.org/officeDocument/2006/relationships/chart" Target="../charts/chart22.xml"/><Relationship Id="rId2" Type="http://schemas.openxmlformats.org/officeDocument/2006/relationships/chart" Target="../charts/chart2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4" Type="http://schemas.openxmlformats.org/officeDocument/2006/relationships/chart" Target="../charts/chart30.xml"/><Relationship Id="rId5" Type="http://schemas.openxmlformats.org/officeDocument/2006/relationships/chart" Target="../charts/chart31.xml"/><Relationship Id="rId1" Type="http://schemas.openxmlformats.org/officeDocument/2006/relationships/chart" Target="../charts/chart27.xml"/><Relationship Id="rId2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4" Type="http://schemas.openxmlformats.org/officeDocument/2006/relationships/chart" Target="../charts/chart35.xml"/><Relationship Id="rId5" Type="http://schemas.openxmlformats.org/officeDocument/2006/relationships/chart" Target="../charts/chart36.xml"/><Relationship Id="rId1" Type="http://schemas.openxmlformats.org/officeDocument/2006/relationships/chart" Target="../charts/chart32.xml"/><Relationship Id="rId2" Type="http://schemas.openxmlformats.org/officeDocument/2006/relationships/chart" Target="../charts/chart3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1</xdr:row>
      <xdr:rowOff>90486</xdr:rowOff>
    </xdr:from>
    <xdr:to>
      <xdr:col>12</xdr:col>
      <xdr:colOff>0</xdr:colOff>
      <xdr:row>18</xdr:row>
      <xdr:rowOff>76199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152399</xdr:colOff>
      <xdr:row>2</xdr:row>
      <xdr:rowOff>0</xdr:rowOff>
    </xdr:from>
    <xdr:to>
      <xdr:col>13</xdr:col>
      <xdr:colOff>66674</xdr:colOff>
      <xdr:row>15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238125</xdr:colOff>
      <xdr:row>19</xdr:row>
      <xdr:rowOff>19050</xdr:rowOff>
    </xdr:from>
    <xdr:to>
      <xdr:col>5</xdr:col>
      <xdr:colOff>111125</xdr:colOff>
      <xdr:row>32</xdr:row>
      <xdr:rowOff>11430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266700</xdr:colOff>
      <xdr:row>19</xdr:row>
      <xdr:rowOff>23812</xdr:rowOff>
    </xdr:from>
    <xdr:to>
      <xdr:col>10</xdr:col>
      <xdr:colOff>558800</xdr:colOff>
      <xdr:row>32</xdr:row>
      <xdr:rowOff>16192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171450</xdr:colOff>
      <xdr:row>18</xdr:row>
      <xdr:rowOff>179386</xdr:rowOff>
    </xdr:from>
    <xdr:to>
      <xdr:col>16</xdr:col>
      <xdr:colOff>463550</xdr:colOff>
      <xdr:row>31</xdr:row>
      <xdr:rowOff>159066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247650</xdr:colOff>
      <xdr:row>1</xdr:row>
      <xdr:rowOff>171449</xdr:rowOff>
    </xdr:from>
    <xdr:to>
      <xdr:col>19</xdr:col>
      <xdr:colOff>161925</xdr:colOff>
      <xdr:row>14</xdr:row>
      <xdr:rowOff>180975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152399</xdr:colOff>
      <xdr:row>2</xdr:row>
      <xdr:rowOff>0</xdr:rowOff>
    </xdr:from>
    <xdr:to>
      <xdr:col>13</xdr:col>
      <xdr:colOff>66674</xdr:colOff>
      <xdr:row>14</xdr:row>
      <xdr:rowOff>9526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19</xdr:row>
      <xdr:rowOff>19050</xdr:rowOff>
    </xdr:from>
    <xdr:to>
      <xdr:col>5</xdr:col>
      <xdr:colOff>104775</xdr:colOff>
      <xdr:row>32</xdr:row>
      <xdr:rowOff>4762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295274</xdr:colOff>
      <xdr:row>19</xdr:row>
      <xdr:rowOff>23812</xdr:rowOff>
    </xdr:from>
    <xdr:to>
      <xdr:col>11</xdr:col>
      <xdr:colOff>114299</xdr:colOff>
      <xdr:row>31</xdr:row>
      <xdr:rowOff>171450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171450</xdr:colOff>
      <xdr:row>19</xdr:row>
      <xdr:rowOff>14287</xdr:rowOff>
    </xdr:from>
    <xdr:to>
      <xdr:col>17</xdr:col>
      <xdr:colOff>19050</xdr:colOff>
      <xdr:row>31</xdr:row>
      <xdr:rowOff>133350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247650</xdr:colOff>
      <xdr:row>1</xdr:row>
      <xdr:rowOff>171449</xdr:rowOff>
    </xdr:from>
    <xdr:to>
      <xdr:col>19</xdr:col>
      <xdr:colOff>161925</xdr:colOff>
      <xdr:row>14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152399</xdr:colOff>
      <xdr:row>2</xdr:row>
      <xdr:rowOff>0</xdr:rowOff>
    </xdr:from>
    <xdr:to>
      <xdr:col>13</xdr:col>
      <xdr:colOff>66674</xdr:colOff>
      <xdr:row>14</xdr:row>
      <xdr:rowOff>9526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238125</xdr:colOff>
      <xdr:row>19</xdr:row>
      <xdr:rowOff>19050</xdr:rowOff>
    </xdr:from>
    <xdr:to>
      <xdr:col>5</xdr:col>
      <xdr:colOff>142875</xdr:colOff>
      <xdr:row>32</xdr:row>
      <xdr:rowOff>4762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295274</xdr:colOff>
      <xdr:row>19</xdr:row>
      <xdr:rowOff>23812</xdr:rowOff>
    </xdr:from>
    <xdr:to>
      <xdr:col>11</xdr:col>
      <xdr:colOff>114299</xdr:colOff>
      <xdr:row>31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171450</xdr:colOff>
      <xdr:row>19</xdr:row>
      <xdr:rowOff>14287</xdr:rowOff>
    </xdr:from>
    <xdr:to>
      <xdr:col>17</xdr:col>
      <xdr:colOff>19050</xdr:colOff>
      <xdr:row>31</xdr:row>
      <xdr:rowOff>133350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180975</xdr:colOff>
      <xdr:row>1</xdr:row>
      <xdr:rowOff>180974</xdr:rowOff>
    </xdr:from>
    <xdr:to>
      <xdr:col>19</xdr:col>
      <xdr:colOff>95250</xdr:colOff>
      <xdr:row>14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2</xdr:row>
      <xdr:rowOff>66674</xdr:rowOff>
    </xdr:from>
    <xdr:to>
      <xdr:col>12</xdr:col>
      <xdr:colOff>476250</xdr:colOff>
      <xdr:row>15</xdr:row>
      <xdr:rowOff>128586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19</xdr:row>
      <xdr:rowOff>90487</xdr:rowOff>
    </xdr:from>
    <xdr:to>
      <xdr:col>5</xdr:col>
      <xdr:colOff>57150</xdr:colOff>
      <xdr:row>31</xdr:row>
      <xdr:rowOff>104775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104775</xdr:colOff>
      <xdr:row>19</xdr:row>
      <xdr:rowOff>80962</xdr:rowOff>
    </xdr:from>
    <xdr:to>
      <xdr:col>11</xdr:col>
      <xdr:colOff>66675</xdr:colOff>
      <xdr:row>31</xdr:row>
      <xdr:rowOff>66675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200024</xdr:colOff>
      <xdr:row>19</xdr:row>
      <xdr:rowOff>85725</xdr:rowOff>
    </xdr:from>
    <xdr:to>
      <xdr:col>17</xdr:col>
      <xdr:colOff>514349</xdr:colOff>
      <xdr:row>31</xdr:row>
      <xdr:rowOff>104775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561975</xdr:colOff>
      <xdr:row>2</xdr:row>
      <xdr:rowOff>85725</xdr:rowOff>
    </xdr:from>
    <xdr:to>
      <xdr:col>18</xdr:col>
      <xdr:colOff>247650</xdr:colOff>
      <xdr:row>15</xdr:row>
      <xdr:rowOff>80962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319087</xdr:colOff>
      <xdr:row>2</xdr:row>
      <xdr:rowOff>100011</xdr:rowOff>
    </xdr:from>
    <xdr:to>
      <xdr:col>12</xdr:col>
      <xdr:colOff>209550</xdr:colOff>
      <xdr:row>14</xdr:row>
      <xdr:rowOff>85724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200025</xdr:colOff>
      <xdr:row>2</xdr:row>
      <xdr:rowOff>138112</xdr:rowOff>
    </xdr:from>
    <xdr:to>
      <xdr:col>17</xdr:col>
      <xdr:colOff>161925</xdr:colOff>
      <xdr:row>14</xdr:row>
      <xdr:rowOff>123825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20</xdr:row>
      <xdr:rowOff>14287</xdr:rowOff>
    </xdr:from>
    <xdr:to>
      <xdr:col>5</xdr:col>
      <xdr:colOff>600075</xdr:colOff>
      <xdr:row>32</xdr:row>
      <xdr:rowOff>152400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47625</xdr:colOff>
      <xdr:row>19</xdr:row>
      <xdr:rowOff>171450</xdr:rowOff>
    </xdr:from>
    <xdr:to>
      <xdr:col>11</xdr:col>
      <xdr:colOff>381000</xdr:colOff>
      <xdr:row>32</xdr:row>
      <xdr:rowOff>119063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504825</xdr:colOff>
      <xdr:row>19</xdr:row>
      <xdr:rowOff>161925</xdr:rowOff>
    </xdr:from>
    <xdr:to>
      <xdr:col>17</xdr:col>
      <xdr:colOff>228600</xdr:colOff>
      <xdr:row>32</xdr:row>
      <xdr:rowOff>109538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3</xdr:row>
      <xdr:rowOff>38100</xdr:rowOff>
    </xdr:from>
    <xdr:to>
      <xdr:col>13</xdr:col>
      <xdr:colOff>361950</xdr:colOff>
      <xdr:row>16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490537</xdr:colOff>
      <xdr:row>2</xdr:row>
      <xdr:rowOff>180974</xdr:rowOff>
    </xdr:from>
    <xdr:to>
      <xdr:col>19</xdr:col>
      <xdr:colOff>552450</xdr:colOff>
      <xdr:row>15</xdr:row>
      <xdr:rowOff>66675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252412</xdr:colOff>
      <xdr:row>20</xdr:row>
      <xdr:rowOff>47625</xdr:rowOff>
    </xdr:from>
    <xdr:to>
      <xdr:col>5</xdr:col>
      <xdr:colOff>209550</xdr:colOff>
      <xdr:row>34</xdr:row>
      <xdr:rowOff>123825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442912</xdr:colOff>
      <xdr:row>20</xdr:row>
      <xdr:rowOff>9525</xdr:rowOff>
    </xdr:from>
    <xdr:to>
      <xdr:col>11</xdr:col>
      <xdr:colOff>361950</xdr:colOff>
      <xdr:row>34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490537</xdr:colOff>
      <xdr:row>20</xdr:row>
      <xdr:rowOff>9525</xdr:rowOff>
    </xdr:from>
    <xdr:to>
      <xdr:col>17</xdr:col>
      <xdr:colOff>161925</xdr:colOff>
      <xdr:row>33</xdr:row>
      <xdr:rowOff>123825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404812</xdr:colOff>
      <xdr:row>3</xdr:row>
      <xdr:rowOff>61912</xdr:rowOff>
    </xdr:from>
    <xdr:to>
      <xdr:col>12</xdr:col>
      <xdr:colOff>238125</xdr:colOff>
      <xdr:row>15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504825</xdr:colOff>
      <xdr:row>3</xdr:row>
      <xdr:rowOff>71438</xdr:rowOff>
    </xdr:from>
    <xdr:to>
      <xdr:col>18</xdr:col>
      <xdr:colOff>9525</xdr:colOff>
      <xdr:row>15</xdr:row>
      <xdr:rowOff>142875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133349</xdr:colOff>
      <xdr:row>21</xdr:row>
      <xdr:rowOff>71437</xdr:rowOff>
    </xdr:from>
    <xdr:to>
      <xdr:col>4</xdr:col>
      <xdr:colOff>609599</xdr:colOff>
      <xdr:row>34</xdr:row>
      <xdr:rowOff>123825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142875</xdr:colOff>
      <xdr:row>21</xdr:row>
      <xdr:rowOff>52387</xdr:rowOff>
    </xdr:from>
    <xdr:to>
      <xdr:col>11</xdr:col>
      <xdr:colOff>361950</xdr:colOff>
      <xdr:row>34</xdr:row>
      <xdr:rowOff>66675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428625</xdr:colOff>
      <xdr:row>21</xdr:row>
      <xdr:rowOff>28575</xdr:rowOff>
    </xdr:from>
    <xdr:to>
      <xdr:col>17</xdr:col>
      <xdr:colOff>409575</xdr:colOff>
      <xdr:row>33</xdr:row>
      <xdr:rowOff>80962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2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tabSelected="1" workbookViewId="0">
      <selection activeCell="N18" sqref="N18"/>
    </sheetView>
  </sheetViews>
  <sheetFormatPr baseColWidth="10" defaultColWidth="8.83203125" defaultRowHeight="15" x14ac:dyDescent="0.2"/>
  <cols>
    <col min="2" max="2" width="12.83203125" customWidth="1"/>
    <col min="3" max="3" width="19.83203125" customWidth="1"/>
  </cols>
  <sheetData>
    <row r="2" spans="2:4" x14ac:dyDescent="0.2">
      <c r="B2" t="s">
        <v>23</v>
      </c>
    </row>
    <row r="3" spans="2:4" x14ac:dyDescent="0.2">
      <c r="B3" t="s">
        <v>22</v>
      </c>
      <c r="C3" t="s">
        <v>21</v>
      </c>
      <c r="D3" t="s">
        <v>27</v>
      </c>
    </row>
    <row r="4" spans="2:4" x14ac:dyDescent="0.2">
      <c r="B4">
        <v>0</v>
      </c>
      <c r="C4">
        <v>0.68057000000000001</v>
      </c>
      <c r="D4">
        <v>1.375E-2</v>
      </c>
    </row>
    <row r="5" spans="2:4" x14ac:dyDescent="0.2">
      <c r="B5">
        <v>1</v>
      </c>
      <c r="C5">
        <v>0.70033000000000001</v>
      </c>
      <c r="D5">
        <v>8.8100000000000001E-3</v>
      </c>
    </row>
    <row r="6" spans="2:4" x14ac:dyDescent="0.2">
      <c r="B6">
        <v>3</v>
      </c>
      <c r="C6">
        <v>0.73172000000000004</v>
      </c>
      <c r="D6">
        <v>1.617E-2</v>
      </c>
    </row>
    <row r="7" spans="2:4" x14ac:dyDescent="0.2">
      <c r="B7">
        <v>4</v>
      </c>
      <c r="C7">
        <v>0.71226</v>
      </c>
      <c r="D7">
        <v>1.583E-2</v>
      </c>
    </row>
    <row r="8" spans="2:4" x14ac:dyDescent="0.2">
      <c r="B8">
        <v>5</v>
      </c>
      <c r="C8">
        <v>0.73253000000000001</v>
      </c>
      <c r="D8">
        <v>9.3699999999999999E-3</v>
      </c>
    </row>
    <row r="9" spans="2:4" x14ac:dyDescent="0.2">
      <c r="B9">
        <v>10</v>
      </c>
      <c r="C9">
        <v>0.71433999999999997</v>
      </c>
      <c r="D9">
        <v>5.3499999999999997E-3</v>
      </c>
    </row>
    <row r="10" spans="2:4" x14ac:dyDescent="0.2">
      <c r="B10">
        <v>20</v>
      </c>
      <c r="C10">
        <v>0.59592000000000001</v>
      </c>
      <c r="D10">
        <v>9.2599999999999991E-3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2" workbookViewId="0">
      <selection activeCell="G14" sqref="G14"/>
    </sheetView>
  </sheetViews>
  <sheetFormatPr baseColWidth="10" defaultColWidth="8.83203125" defaultRowHeight="15" x14ac:dyDescent="0.2"/>
  <cols>
    <col min="2" max="2" width="14.33203125" bestFit="1" customWidth="1"/>
  </cols>
  <sheetData>
    <row r="1" spans="1:7" ht="16" x14ac:dyDescent="0.2">
      <c r="A1" s="14"/>
    </row>
    <row r="2" spans="1:7" x14ac:dyDescent="0.2">
      <c r="A2" s="8"/>
    </row>
    <row r="3" spans="1:7" x14ac:dyDescent="0.2">
      <c r="A3" s="9" t="s">
        <v>26</v>
      </c>
    </row>
    <row r="4" spans="1:7" x14ac:dyDescent="0.2">
      <c r="A4" t="s">
        <v>9</v>
      </c>
    </row>
    <row r="5" spans="1:7" ht="16" x14ac:dyDescent="0.2">
      <c r="B5" s="15" t="s">
        <v>0</v>
      </c>
      <c r="C5" s="15" t="s">
        <v>1</v>
      </c>
      <c r="D5" s="16" t="s">
        <v>2</v>
      </c>
      <c r="E5" s="16" t="s">
        <v>3</v>
      </c>
      <c r="F5" s="16" t="s">
        <v>4</v>
      </c>
      <c r="G5" s="16" t="s">
        <v>5</v>
      </c>
    </row>
    <row r="6" spans="1:7" ht="16" x14ac:dyDescent="0.2">
      <c r="B6" s="17">
        <v>42811.328472222223</v>
      </c>
      <c r="C6" s="18">
        <f>(B6-$B$6)*24</f>
        <v>0</v>
      </c>
      <c r="D6" s="14">
        <v>8.9999999999999993E-3</v>
      </c>
      <c r="E6" s="14">
        <v>8.9999999999999993E-3</v>
      </c>
      <c r="F6" s="14">
        <v>0.01</v>
      </c>
      <c r="G6" s="6">
        <v>0</v>
      </c>
    </row>
    <row r="7" spans="1:7" ht="16" x14ac:dyDescent="0.2">
      <c r="B7" s="17">
        <v>42811.478472222225</v>
      </c>
      <c r="C7" s="18">
        <f t="shared" ref="C7:C13" si="0">(B7-$B$6)*24</f>
        <v>3.6000000000349246</v>
      </c>
      <c r="D7" s="14">
        <v>8.7999999999999995E-2</v>
      </c>
      <c r="E7" s="14">
        <v>8.6999999999999994E-2</v>
      </c>
      <c r="F7" s="14">
        <v>0.1</v>
      </c>
      <c r="G7" s="6">
        <v>0</v>
      </c>
    </row>
    <row r="8" spans="1:7" ht="16" x14ac:dyDescent="0.2">
      <c r="B8" s="17">
        <v>42811.524305555555</v>
      </c>
      <c r="C8" s="18">
        <f t="shared" si="0"/>
        <v>4.6999999999534339</v>
      </c>
      <c r="D8" s="14">
        <v>0.161</v>
      </c>
      <c r="E8" s="14">
        <v>0.187</v>
      </c>
      <c r="F8" s="14">
        <v>0.219</v>
      </c>
      <c r="G8" s="6">
        <v>0</v>
      </c>
    </row>
    <row r="9" spans="1:7" ht="16" x14ac:dyDescent="0.2">
      <c r="B9" s="17">
        <v>42811.563194444447</v>
      </c>
      <c r="C9" s="18">
        <f t="shared" si="0"/>
        <v>5.6333333333604969</v>
      </c>
      <c r="D9" s="14">
        <f>0.161*2</f>
        <v>0.32200000000000001</v>
      </c>
      <c r="E9" s="14">
        <f>0.189*2</f>
        <v>0.378</v>
      </c>
      <c r="F9" s="14">
        <f>0.222*2</f>
        <v>0.44400000000000001</v>
      </c>
      <c r="G9" s="6">
        <v>0</v>
      </c>
    </row>
    <row r="10" spans="1:7" ht="16" x14ac:dyDescent="0.2">
      <c r="B10" s="17">
        <v>42811.604861111111</v>
      </c>
      <c r="C10" s="18">
        <f t="shared" si="0"/>
        <v>6.6333333333022892</v>
      </c>
      <c r="D10" s="14">
        <f>0.223*3</f>
        <v>0.66900000000000004</v>
      </c>
      <c r="E10" s="14">
        <f>0.254*3</f>
        <v>0.76200000000000001</v>
      </c>
      <c r="F10" s="14">
        <f>0.223*4</f>
        <v>0.89200000000000002</v>
      </c>
      <c r="G10" s="6">
        <v>0</v>
      </c>
    </row>
    <row r="11" spans="1:7" ht="16" x14ac:dyDescent="0.2">
      <c r="B11" s="17">
        <v>42811.655555555553</v>
      </c>
      <c r="C11" s="18">
        <f t="shared" si="0"/>
        <v>7.8499999999185093</v>
      </c>
      <c r="D11" s="14">
        <f>0.204*7</f>
        <v>1.4279999999999999</v>
      </c>
      <c r="E11" s="14">
        <f>0.236*7</f>
        <v>1.6519999999999999</v>
      </c>
      <c r="F11" s="14">
        <f>0.265*7</f>
        <v>1.855</v>
      </c>
      <c r="G11" s="6">
        <v>0</v>
      </c>
    </row>
    <row r="12" spans="1:7" ht="16" x14ac:dyDescent="0.2">
      <c r="B12" s="17">
        <v>42811.688194444447</v>
      </c>
      <c r="C12" s="18">
        <f t="shared" si="0"/>
        <v>8.6333333333604969</v>
      </c>
      <c r="D12" s="14">
        <f>0.233*9</f>
        <v>2.097</v>
      </c>
      <c r="E12" s="14">
        <f>0.266*9</f>
        <v>2.3940000000000001</v>
      </c>
      <c r="F12" s="14">
        <f>0.237*11</f>
        <v>2.6069999999999998</v>
      </c>
      <c r="G12" s="6">
        <v>0</v>
      </c>
    </row>
    <row r="13" spans="1:7" ht="16" x14ac:dyDescent="0.2">
      <c r="B13" s="17">
        <v>42811.723611111112</v>
      </c>
      <c r="C13" s="18">
        <f t="shared" si="0"/>
        <v>9.4833333333372138</v>
      </c>
      <c r="D13" s="14">
        <f>0.261*11</f>
        <v>2.871</v>
      </c>
      <c r="E13" s="14">
        <f>0.274*11</f>
        <v>3.0140000000000002</v>
      </c>
      <c r="F13" s="14">
        <f>0.281*12</f>
        <v>3.3720000000000003</v>
      </c>
      <c r="G13" s="6">
        <v>0</v>
      </c>
    </row>
    <row r="14" spans="1:7" ht="16" x14ac:dyDescent="0.2">
      <c r="B14" s="17"/>
      <c r="C14" s="18"/>
      <c r="D14" s="14"/>
      <c r="E14" s="14"/>
      <c r="F14" s="14"/>
      <c r="G14" s="6"/>
    </row>
    <row r="15" spans="1:7" ht="16" x14ac:dyDescent="0.2">
      <c r="B15" s="17"/>
      <c r="C15" s="18"/>
      <c r="D15" s="14"/>
      <c r="E15" s="14"/>
      <c r="F15" s="14"/>
      <c r="G15" s="6"/>
    </row>
    <row r="16" spans="1:7" ht="16" x14ac:dyDescent="0.2">
      <c r="B16" s="17"/>
      <c r="C16" s="17" t="s">
        <v>6</v>
      </c>
      <c r="D16" s="14">
        <v>6.25</v>
      </c>
      <c r="E16" s="14">
        <v>6.34</v>
      </c>
      <c r="F16" s="14">
        <v>6.38</v>
      </c>
      <c r="G16" s="14">
        <v>7</v>
      </c>
    </row>
    <row r="17" spans="3:8" x14ac:dyDescent="0.2">
      <c r="G17" t="s">
        <v>12</v>
      </c>
      <c r="H17" t="s">
        <v>13</v>
      </c>
    </row>
    <row r="18" spans="3:8" ht="16" x14ac:dyDescent="0.2">
      <c r="C18" s="15" t="s">
        <v>10</v>
      </c>
      <c r="D18" s="14">
        <f>LN(LOGEST(D8:D11,C8:C11))</f>
        <v>0.69469825074238523</v>
      </c>
      <c r="E18" s="14">
        <f>LN(LOGEST(E7:E10,C7:C10))</f>
        <v>0.71870240758196757</v>
      </c>
      <c r="F18" s="14">
        <f>LN(LOGEST(F7:F10,C7:C10))</f>
        <v>0.7245826134293617</v>
      </c>
      <c r="G18" s="13">
        <f>AVERAGE(D18:F18)</f>
        <v>0.7126610905845715</v>
      </c>
      <c r="H18" s="14">
        <f>STDEV(D18:F18)</f>
        <v>1.5831674472365772E-2</v>
      </c>
    </row>
    <row r="19" spans="3:8" ht="16" x14ac:dyDescent="0.2">
      <c r="C19" s="17" t="s">
        <v>11</v>
      </c>
      <c r="D19" s="14">
        <f>LN(2)/D18</f>
        <v>0.99776727495602247</v>
      </c>
      <c r="E19" s="14">
        <f t="shared" ref="E19:F19" si="1">LN(2)/E18</f>
        <v>0.96444254707869792</v>
      </c>
      <c r="F19" s="14">
        <f t="shared" si="1"/>
        <v>0.9566158057248485</v>
      </c>
      <c r="G19" s="13">
        <f>AVERAGE(D19:F19)</f>
        <v>0.97294187591985626</v>
      </c>
      <c r="H19" s="14">
        <f>STDEV(D19:F19)</f>
        <v>2.1852684000682257E-2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16" sqref="H16"/>
    </sheetView>
  </sheetViews>
  <sheetFormatPr baseColWidth="10" defaultColWidth="8.83203125" defaultRowHeight="15" x14ac:dyDescent="0.2"/>
  <cols>
    <col min="2" max="2" width="14.33203125" bestFit="1" customWidth="1"/>
  </cols>
  <sheetData>
    <row r="1" spans="1:7" ht="16" x14ac:dyDescent="0.2">
      <c r="A1" s="14"/>
    </row>
    <row r="2" spans="1:7" x14ac:dyDescent="0.2">
      <c r="A2" s="8"/>
    </row>
    <row r="3" spans="1:7" x14ac:dyDescent="0.2">
      <c r="A3" s="9" t="s">
        <v>24</v>
      </c>
    </row>
    <row r="4" spans="1:7" x14ac:dyDescent="0.2">
      <c r="A4" t="s">
        <v>25</v>
      </c>
    </row>
    <row r="5" spans="1:7" ht="16" x14ac:dyDescent="0.2">
      <c r="B5" s="15" t="s">
        <v>0</v>
      </c>
      <c r="C5" s="15" t="s">
        <v>1</v>
      </c>
      <c r="D5" s="16" t="s">
        <v>2</v>
      </c>
      <c r="E5" s="16" t="s">
        <v>3</v>
      </c>
      <c r="F5" s="16" t="s">
        <v>4</v>
      </c>
      <c r="G5" s="16" t="s">
        <v>5</v>
      </c>
    </row>
    <row r="6" spans="1:7" ht="16" x14ac:dyDescent="0.2">
      <c r="B6" s="17">
        <v>42811.328472222223</v>
      </c>
      <c r="C6" s="18">
        <f>(B6-$B$6)*24</f>
        <v>0</v>
      </c>
      <c r="D6" s="14">
        <v>5.0000000000000001E-3</v>
      </c>
      <c r="E6" s="14">
        <v>7.0000000000000001E-3</v>
      </c>
      <c r="F6" s="14">
        <v>8.9999999999999993E-3</v>
      </c>
      <c r="G6" s="6">
        <v>0</v>
      </c>
    </row>
    <row r="7" spans="1:7" ht="16" x14ac:dyDescent="0.2">
      <c r="B7" s="17">
        <v>42811.479166666664</v>
      </c>
      <c r="C7" s="18">
        <f t="shared" ref="C7:C13" si="0">(B7-$B$6)*24</f>
        <v>3.6166666665812954</v>
      </c>
      <c r="D7" s="14">
        <v>3.5999999999999997E-2</v>
      </c>
      <c r="E7" s="14">
        <v>2.3E-2</v>
      </c>
      <c r="F7" s="14">
        <v>6.8000000000000005E-2</v>
      </c>
      <c r="G7" s="6">
        <v>0</v>
      </c>
    </row>
    <row r="8" spans="1:7" ht="16" x14ac:dyDescent="0.2">
      <c r="B8" s="17">
        <v>42811.525694444441</v>
      </c>
      <c r="C8" s="18">
        <f t="shared" si="0"/>
        <v>4.7333333332207985</v>
      </c>
      <c r="D8" s="14">
        <v>6.8000000000000005E-2</v>
      </c>
      <c r="E8" s="14">
        <v>4.2000000000000003E-2</v>
      </c>
      <c r="F8" s="14">
        <v>0.129</v>
      </c>
      <c r="G8" s="6">
        <v>0</v>
      </c>
    </row>
    <row r="9" spans="1:7" ht="16" x14ac:dyDescent="0.2">
      <c r="B9" s="17">
        <v>42811.564583333333</v>
      </c>
      <c r="C9" s="18">
        <f t="shared" si="0"/>
        <v>5.6666666666278616</v>
      </c>
      <c r="D9" s="14">
        <v>0.11700000000000001</v>
      </c>
      <c r="E9" s="14">
        <v>7.1999999999999995E-2</v>
      </c>
      <c r="F9" s="14">
        <v>0.22600000000000001</v>
      </c>
      <c r="G9" s="6">
        <v>0</v>
      </c>
    </row>
    <row r="10" spans="1:7" ht="16" x14ac:dyDescent="0.2">
      <c r="B10" s="17">
        <v>42811.606249999997</v>
      </c>
      <c r="C10" s="18">
        <f t="shared" si="0"/>
        <v>6.6666666665696539</v>
      </c>
      <c r="D10" s="14">
        <v>0.21199999999999999</v>
      </c>
      <c r="E10" s="14">
        <v>0.128</v>
      </c>
      <c r="F10" s="14">
        <f>0.211*2</f>
        <v>0.42199999999999999</v>
      </c>
      <c r="G10" s="6">
        <v>0</v>
      </c>
    </row>
    <row r="11" spans="1:7" ht="16" x14ac:dyDescent="0.2">
      <c r="B11" s="17">
        <v>42811.656944444447</v>
      </c>
      <c r="C11" s="18">
        <f>(B11-$B$6)*24</f>
        <v>7.8833333333604969</v>
      </c>
      <c r="D11" s="14">
        <f>0.227*2</f>
        <v>0.45400000000000001</v>
      </c>
      <c r="E11" s="14">
        <f>0.133*2</f>
        <v>0.26600000000000001</v>
      </c>
      <c r="F11" s="14">
        <f>0.212*4</f>
        <v>0.84799999999999998</v>
      </c>
      <c r="G11" s="6">
        <v>0</v>
      </c>
    </row>
    <row r="12" spans="1:7" ht="16" x14ac:dyDescent="0.2">
      <c r="B12" s="17">
        <v>42811.688888888886</v>
      </c>
      <c r="C12" s="18">
        <f t="shared" si="0"/>
        <v>8.6499999999068677</v>
      </c>
      <c r="D12" s="14">
        <f>0.171*4</f>
        <v>0.68400000000000005</v>
      </c>
      <c r="E12" s="14">
        <f>0.102*4</f>
        <v>0.40799999999999997</v>
      </c>
      <c r="F12" s="14">
        <f>0.27*5</f>
        <v>1.35</v>
      </c>
      <c r="G12" s="6">
        <v>1.0999999999999999E-2</v>
      </c>
    </row>
    <row r="13" spans="1:7" ht="16" x14ac:dyDescent="0.2">
      <c r="B13" s="17">
        <v>42811.724999999999</v>
      </c>
      <c r="C13" s="18">
        <f t="shared" si="0"/>
        <v>9.5166666666045785</v>
      </c>
      <c r="D13" s="14">
        <f>0.165*7</f>
        <v>1.155</v>
      </c>
      <c r="E13" s="14">
        <f>0.131*5</f>
        <v>0.65500000000000003</v>
      </c>
      <c r="F13" s="14">
        <f>0.277*7</f>
        <v>1.9390000000000001</v>
      </c>
      <c r="G13" s="6">
        <v>0</v>
      </c>
    </row>
    <row r="14" spans="1:7" ht="16" x14ac:dyDescent="0.2">
      <c r="B14" s="17"/>
      <c r="C14" s="18"/>
      <c r="D14" s="14"/>
      <c r="E14" s="14"/>
      <c r="F14" s="14"/>
      <c r="G14" s="6"/>
    </row>
    <row r="15" spans="1:7" ht="16" x14ac:dyDescent="0.2">
      <c r="B15" s="17"/>
      <c r="C15" s="18"/>
      <c r="D15" s="14"/>
      <c r="E15" s="14"/>
      <c r="F15" s="14"/>
      <c r="G15" s="6"/>
    </row>
    <row r="16" spans="1:7" ht="16" x14ac:dyDescent="0.2">
      <c r="B16" s="17"/>
      <c r="C16" s="17" t="s">
        <v>6</v>
      </c>
      <c r="D16" s="14">
        <v>6.73</v>
      </c>
      <c r="E16" s="14">
        <v>6.8</v>
      </c>
      <c r="F16" s="14">
        <v>6.63</v>
      </c>
      <c r="G16" s="14">
        <v>6.95</v>
      </c>
    </row>
    <row r="17" spans="3:8" x14ac:dyDescent="0.2">
      <c r="G17" t="s">
        <v>12</v>
      </c>
      <c r="H17" t="s">
        <v>13</v>
      </c>
    </row>
    <row r="18" spans="3:8" ht="16" x14ac:dyDescent="0.2">
      <c r="C18" s="15" t="s">
        <v>10</v>
      </c>
      <c r="D18" s="14">
        <f>LN(LOGEST(D8:D11,C8:C11))</f>
        <v>0.60258960524034744</v>
      </c>
      <c r="E18" s="14">
        <f>LN(LOGEST(E8:E11,C8:C11))</f>
        <v>0.58535037079463559</v>
      </c>
      <c r="F18" s="14">
        <f>LN(LOGEST(F8:F11,C8:C11))</f>
        <v>0.59981590927285922</v>
      </c>
      <c r="G18" s="13">
        <f>AVERAGE(D18:F18)</f>
        <v>0.59591862843594745</v>
      </c>
      <c r="H18" s="14">
        <f>STDEV(D18:F18)</f>
        <v>9.2568568915088259E-3</v>
      </c>
    </row>
    <row r="19" spans="3:8" ht="16" x14ac:dyDescent="0.2">
      <c r="C19" s="17" t="s">
        <v>11</v>
      </c>
      <c r="D19" s="14">
        <f>LN(2)/D18</f>
        <v>1.1502806794741809</v>
      </c>
      <c r="E19" s="14">
        <f t="shared" ref="E19:F19" si="1">LN(2)/E18</f>
        <v>1.1841577543018746</v>
      </c>
      <c r="F19" s="14">
        <f t="shared" si="1"/>
        <v>1.1555998596306474</v>
      </c>
      <c r="G19" s="13">
        <f>AVERAGE(D19:F19)</f>
        <v>1.1633460978022343</v>
      </c>
      <c r="H19" s="14">
        <f>STDEV(D19:F19)</f>
        <v>1.8218595008356247E-2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D15" sqref="D15"/>
    </sheetView>
  </sheetViews>
  <sheetFormatPr baseColWidth="10" defaultColWidth="8.83203125" defaultRowHeight="15" x14ac:dyDescent="0.2"/>
  <cols>
    <col min="2" max="2" width="14.33203125" bestFit="1" customWidth="1"/>
  </cols>
  <sheetData>
    <row r="1" spans="1:7" ht="16" x14ac:dyDescent="0.2">
      <c r="A1" s="10"/>
    </row>
    <row r="2" spans="1:7" x14ac:dyDescent="0.2">
      <c r="A2" s="8"/>
    </row>
    <row r="3" spans="1:7" x14ac:dyDescent="0.2">
      <c r="A3" s="9" t="s">
        <v>17</v>
      </c>
    </row>
    <row r="4" spans="1:7" x14ac:dyDescent="0.2">
      <c r="A4" t="s">
        <v>18</v>
      </c>
    </row>
    <row r="5" spans="1:7" ht="16" x14ac:dyDescent="0.2">
      <c r="B5" s="11" t="s">
        <v>0</v>
      </c>
      <c r="C5" s="11" t="s">
        <v>1</v>
      </c>
      <c r="D5" s="3" t="s">
        <v>2</v>
      </c>
      <c r="E5" s="3" t="s">
        <v>3</v>
      </c>
      <c r="F5" s="3" t="s">
        <v>4</v>
      </c>
      <c r="G5" s="3" t="s">
        <v>5</v>
      </c>
    </row>
    <row r="6" spans="1:7" ht="16" x14ac:dyDescent="0.2">
      <c r="B6" s="12">
        <v>42615.39166666667</v>
      </c>
      <c r="C6" s="5">
        <f>(B6-$B$6)*24</f>
        <v>0</v>
      </c>
      <c r="D6" s="10">
        <v>0.01</v>
      </c>
      <c r="E6" s="10">
        <v>8.9999999999999993E-3</v>
      </c>
      <c r="F6" s="10">
        <v>0.01</v>
      </c>
      <c r="G6" s="6">
        <v>1E-3</v>
      </c>
    </row>
    <row r="7" spans="1:7" ht="16" x14ac:dyDescent="0.2">
      <c r="B7" s="12">
        <v>42615.475694444445</v>
      </c>
      <c r="C7" s="5">
        <f t="shared" ref="C7:C12" si="0">(B7-$B$6)*24</f>
        <v>2.0166666666045785</v>
      </c>
      <c r="D7" s="10">
        <v>0.03</v>
      </c>
      <c r="E7" s="10">
        <v>2.7E-2</v>
      </c>
      <c r="F7" s="10">
        <v>2.9000000000000001E-2</v>
      </c>
      <c r="G7" s="6">
        <v>1E-3</v>
      </c>
    </row>
    <row r="8" spans="1:7" ht="16" x14ac:dyDescent="0.2">
      <c r="B8" s="12">
        <v>42615.547222222223</v>
      </c>
      <c r="C8" s="5">
        <f t="shared" si="0"/>
        <v>3.7333333332790062</v>
      </c>
      <c r="D8" s="10">
        <v>9.8000000000000004E-2</v>
      </c>
      <c r="E8" s="10">
        <v>8.4000000000000005E-2</v>
      </c>
      <c r="F8" s="10">
        <v>9.5000000000000001E-2</v>
      </c>
      <c r="G8" s="6">
        <v>1E-3</v>
      </c>
    </row>
    <row r="9" spans="1:7" ht="16" x14ac:dyDescent="0.2">
      <c r="B9" s="12">
        <v>42615.589583333334</v>
      </c>
      <c r="C9" s="5">
        <f t="shared" si="0"/>
        <v>4.7499999999417923</v>
      </c>
      <c r="D9" s="10">
        <v>0.20200000000000001</v>
      </c>
      <c r="E9" s="10">
        <v>0.17100000000000001</v>
      </c>
      <c r="F9" s="10">
        <v>0.19700000000000001</v>
      </c>
      <c r="G9" s="6">
        <v>1E-3</v>
      </c>
    </row>
    <row r="10" spans="1:7" ht="16" x14ac:dyDescent="0.2">
      <c r="B10" s="12">
        <v>42615.62777777778</v>
      </c>
      <c r="C10" s="5">
        <f t="shared" si="0"/>
        <v>5.6666666666278616</v>
      </c>
      <c r="D10" s="10">
        <f>0.199*2</f>
        <v>0.39800000000000002</v>
      </c>
      <c r="E10" s="10">
        <f>0.167*2</f>
        <v>0.33400000000000002</v>
      </c>
      <c r="F10" s="10">
        <f>0.192*2</f>
        <v>0.38400000000000001</v>
      </c>
      <c r="G10" s="6">
        <v>1E-3</v>
      </c>
    </row>
    <row r="11" spans="1:7" ht="16" x14ac:dyDescent="0.2">
      <c r="B11" s="12">
        <v>42615.661805555559</v>
      </c>
      <c r="C11" s="5">
        <f t="shared" si="0"/>
        <v>6.4833333333372138</v>
      </c>
      <c r="D11" s="10">
        <f>0.234*3</f>
        <v>0.70200000000000007</v>
      </c>
      <c r="E11" s="10">
        <f>0.195*3</f>
        <v>0.58499999999999996</v>
      </c>
      <c r="F11" s="10">
        <f>0.226*3</f>
        <v>0.67800000000000005</v>
      </c>
      <c r="G11" s="6">
        <v>1E-3</v>
      </c>
    </row>
    <row r="12" spans="1:7" ht="16" x14ac:dyDescent="0.2">
      <c r="B12" s="12">
        <v>42615.699305555558</v>
      </c>
      <c r="C12" s="5">
        <f t="shared" si="0"/>
        <v>7.3833333333022892</v>
      </c>
      <c r="D12" s="10">
        <f>0.239*5</f>
        <v>1.1949999999999998</v>
      </c>
      <c r="E12" s="10">
        <f>0.207*5</f>
        <v>1.0349999999999999</v>
      </c>
      <c r="F12" s="10">
        <f>0.236*5</f>
        <v>1.18</v>
      </c>
      <c r="G12" s="6">
        <v>6.0000000000000001E-3</v>
      </c>
    </row>
    <row r="13" spans="1:7" ht="16" x14ac:dyDescent="0.2">
      <c r="B13" s="12"/>
      <c r="C13" s="5"/>
      <c r="D13" s="10"/>
      <c r="E13" s="10"/>
      <c r="F13" s="10"/>
      <c r="G13" s="6"/>
    </row>
    <row r="14" spans="1:7" ht="16" x14ac:dyDescent="0.2">
      <c r="B14" s="12"/>
      <c r="C14" s="5"/>
      <c r="D14" s="10"/>
      <c r="E14" s="10"/>
      <c r="F14" s="10"/>
      <c r="G14" s="6"/>
    </row>
    <row r="15" spans="1:7" ht="16" x14ac:dyDescent="0.2">
      <c r="B15" s="12"/>
      <c r="C15" s="5"/>
      <c r="D15" s="10"/>
      <c r="E15" s="10"/>
      <c r="F15" s="10"/>
      <c r="G15" s="6"/>
    </row>
    <row r="16" spans="1:7" ht="16" x14ac:dyDescent="0.2">
      <c r="B16" s="12"/>
      <c r="C16" s="12" t="s">
        <v>6</v>
      </c>
      <c r="D16" s="10">
        <v>6.56</v>
      </c>
      <c r="E16" s="10">
        <v>6.66</v>
      </c>
      <c r="F16" s="10">
        <v>6.6</v>
      </c>
      <c r="G16" s="10">
        <v>6.88</v>
      </c>
    </row>
    <row r="17" spans="3:8" x14ac:dyDescent="0.2">
      <c r="G17" t="s">
        <v>12</v>
      </c>
      <c r="H17" t="s">
        <v>13</v>
      </c>
    </row>
    <row r="18" spans="3:8" ht="16" x14ac:dyDescent="0.2">
      <c r="C18" s="11" t="s">
        <v>10</v>
      </c>
      <c r="D18" s="10">
        <f>LN(LOGEST(D8:D11,C8:C11))</f>
        <v>0.7185167750075373</v>
      </c>
      <c r="E18" s="10">
        <f>LN(LOGEST(E8:E11,C8:C11))</f>
        <v>0.70830690073853864</v>
      </c>
      <c r="F18" s="10">
        <f>LN(LOGEST(F8:F11,C8:C11))</f>
        <v>0.71620015166094031</v>
      </c>
      <c r="G18" s="13">
        <f>AVERAGE(D18:F18)</f>
        <v>0.71434127580233875</v>
      </c>
      <c r="H18" s="10">
        <f>STDEV(D18:F18)</f>
        <v>5.3527514177718937E-3</v>
      </c>
    </row>
    <row r="19" spans="3:8" ht="16" x14ac:dyDescent="0.2">
      <c r="C19" s="12" t="s">
        <v>11</v>
      </c>
      <c r="D19" s="10">
        <f>LN(2)/D18</f>
        <v>0.96469171586519198</v>
      </c>
      <c r="E19" s="10">
        <f t="shared" ref="E19:F19" si="1">LN(2)/E18</f>
        <v>0.97859724342260879</v>
      </c>
      <c r="F19" s="10">
        <f t="shared" si="1"/>
        <v>0.9678121108358706</v>
      </c>
      <c r="G19" s="13">
        <f>AVERAGE(D19:F19)</f>
        <v>0.97036702337455705</v>
      </c>
      <c r="H19" s="10">
        <f>STDEV(D19:F19)</f>
        <v>7.2963420782452887E-3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D14" sqref="D14"/>
    </sheetView>
  </sheetViews>
  <sheetFormatPr baseColWidth="10" defaultColWidth="8.83203125" defaultRowHeight="15" x14ac:dyDescent="0.2"/>
  <cols>
    <col min="2" max="2" width="14.33203125" bestFit="1" customWidth="1"/>
  </cols>
  <sheetData>
    <row r="1" spans="1:7" ht="16" x14ac:dyDescent="0.2">
      <c r="A1" s="10"/>
    </row>
    <row r="2" spans="1:7" x14ac:dyDescent="0.2">
      <c r="A2" s="8"/>
    </row>
    <row r="3" spans="1:7" x14ac:dyDescent="0.2">
      <c r="A3" s="9" t="s">
        <v>16</v>
      </c>
    </row>
    <row r="4" spans="1:7" x14ac:dyDescent="0.2">
      <c r="A4" t="s">
        <v>18</v>
      </c>
    </row>
    <row r="5" spans="1:7" ht="16" x14ac:dyDescent="0.2">
      <c r="B5" s="11" t="s">
        <v>0</v>
      </c>
      <c r="C5" s="11" t="s">
        <v>1</v>
      </c>
      <c r="D5" s="3" t="s">
        <v>2</v>
      </c>
      <c r="E5" s="3" t="s">
        <v>3</v>
      </c>
      <c r="F5" s="3" t="s">
        <v>4</v>
      </c>
      <c r="G5" s="3" t="s">
        <v>5</v>
      </c>
    </row>
    <row r="6" spans="1:7" ht="16" x14ac:dyDescent="0.2">
      <c r="B6" s="12">
        <v>42615.384722222225</v>
      </c>
      <c r="C6" s="5">
        <f>(B6-$B$6)*24</f>
        <v>0</v>
      </c>
      <c r="D6" s="10">
        <v>8.9999999999999993E-3</v>
      </c>
      <c r="E6" s="10">
        <v>0.01</v>
      </c>
      <c r="F6" s="10">
        <v>8.9999999999999993E-3</v>
      </c>
      <c r="G6" s="6">
        <v>0</v>
      </c>
    </row>
    <row r="7" spans="1:7" ht="16" x14ac:dyDescent="0.2">
      <c r="B7" s="12">
        <v>42615.47152777778</v>
      </c>
      <c r="C7" s="5">
        <f t="shared" ref="C7:C12" si="0">(B7-$B$6)*24</f>
        <v>2.0833333333139308</v>
      </c>
      <c r="D7" s="10">
        <v>2.9000000000000001E-2</v>
      </c>
      <c r="E7" s="10">
        <v>2.8000000000000001E-2</v>
      </c>
      <c r="F7" s="10">
        <v>3.1E-2</v>
      </c>
      <c r="G7" s="6">
        <v>0</v>
      </c>
    </row>
    <row r="8" spans="1:7" ht="16" x14ac:dyDescent="0.2">
      <c r="B8" s="12">
        <v>42615.543055555558</v>
      </c>
      <c r="C8" s="5">
        <f t="shared" si="0"/>
        <v>3.7999999999883585</v>
      </c>
      <c r="D8" s="10">
        <v>9.8000000000000004E-2</v>
      </c>
      <c r="E8" s="10">
        <v>9.4E-2</v>
      </c>
      <c r="F8" s="10">
        <v>0.108</v>
      </c>
      <c r="G8" s="6">
        <v>0</v>
      </c>
    </row>
    <row r="9" spans="1:7" ht="16" x14ac:dyDescent="0.2">
      <c r="B9" s="12">
        <v>42615.584722222222</v>
      </c>
      <c r="C9" s="5">
        <f t="shared" si="0"/>
        <v>4.7999999999301508</v>
      </c>
      <c r="D9" s="10">
        <v>0.20699999999999999</v>
      </c>
      <c r="E9" s="10">
        <v>0.19600000000000001</v>
      </c>
      <c r="F9" s="10">
        <v>0.23100000000000001</v>
      </c>
      <c r="G9" s="6">
        <v>0</v>
      </c>
    </row>
    <row r="10" spans="1:7" ht="16" x14ac:dyDescent="0.2">
      <c r="B10" s="12">
        <v>42615.620138888888</v>
      </c>
      <c r="C10" s="5">
        <f t="shared" si="0"/>
        <v>5.6499999999068677</v>
      </c>
      <c r="D10" s="10">
        <f>0.194*2</f>
        <v>0.38800000000000001</v>
      </c>
      <c r="E10" s="10">
        <f>0.185*2</f>
        <v>0.37</v>
      </c>
      <c r="F10" s="10">
        <f>0.218*2</f>
        <v>0.436</v>
      </c>
      <c r="G10" s="6">
        <v>0</v>
      </c>
    </row>
    <row r="11" spans="1:7" ht="16" x14ac:dyDescent="0.2">
      <c r="B11" s="12">
        <v>42615.654166666667</v>
      </c>
      <c r="C11" s="5">
        <f t="shared" si="0"/>
        <v>6.46666666661622</v>
      </c>
      <c r="D11" s="10">
        <f>0.23*3</f>
        <v>0.69000000000000006</v>
      </c>
      <c r="E11" s="10">
        <f>0.213*3</f>
        <v>0.63900000000000001</v>
      </c>
      <c r="F11" s="10">
        <f>0.254*3</f>
        <v>0.76200000000000001</v>
      </c>
      <c r="G11" s="6">
        <v>0</v>
      </c>
    </row>
    <row r="12" spans="1:7" ht="16" x14ac:dyDescent="0.2">
      <c r="B12" s="12">
        <v>42615.691666666666</v>
      </c>
      <c r="C12" s="5">
        <f t="shared" si="0"/>
        <v>7.3666666665812954</v>
      </c>
      <c r="D12" s="10">
        <f>0.241*5</f>
        <v>1.2050000000000001</v>
      </c>
      <c r="E12" s="10">
        <f>0.219*5</f>
        <v>1.095</v>
      </c>
      <c r="F12" s="10">
        <f>0.261*5</f>
        <v>1.3050000000000002</v>
      </c>
      <c r="G12" s="6">
        <v>0</v>
      </c>
    </row>
    <row r="13" spans="1:7" ht="16" x14ac:dyDescent="0.2">
      <c r="B13" s="12"/>
      <c r="C13" s="5"/>
      <c r="D13" s="10"/>
      <c r="E13" s="10"/>
      <c r="F13" s="10"/>
      <c r="G13" s="6"/>
    </row>
    <row r="14" spans="1:7" ht="16" x14ac:dyDescent="0.2">
      <c r="B14" s="12"/>
      <c r="C14" s="5"/>
      <c r="D14" s="10"/>
      <c r="E14" s="10"/>
      <c r="F14" s="10"/>
      <c r="G14" s="6"/>
    </row>
    <row r="15" spans="1:7" ht="16" x14ac:dyDescent="0.2">
      <c r="B15" s="12"/>
      <c r="C15" s="5"/>
      <c r="D15" s="10"/>
      <c r="E15" s="10"/>
      <c r="F15" s="10"/>
      <c r="G15" s="6"/>
    </row>
    <row r="16" spans="1:7" ht="16" x14ac:dyDescent="0.2">
      <c r="B16" s="12"/>
      <c r="C16" s="12" t="s">
        <v>6</v>
      </c>
      <c r="D16" s="10">
        <v>6.58</v>
      </c>
      <c r="E16" s="10">
        <v>6.61</v>
      </c>
      <c r="F16" s="10">
        <v>6.56</v>
      </c>
      <c r="G16" s="10">
        <v>6.92</v>
      </c>
    </row>
    <row r="17" spans="3:8" x14ac:dyDescent="0.2">
      <c r="G17" t="s">
        <v>12</v>
      </c>
      <c r="H17" t="s">
        <v>13</v>
      </c>
    </row>
    <row r="18" spans="3:8" ht="16" x14ac:dyDescent="0.2">
      <c r="C18" s="11" t="s">
        <v>10</v>
      </c>
      <c r="D18" s="10">
        <f>LN(LOGEST(D8:D11,C8:C11))</f>
        <v>0.73300744272327689</v>
      </c>
      <c r="E18" s="10">
        <f>LN(LOGEST(E7:E10,C7:C10))</f>
        <v>0.72293133214452165</v>
      </c>
      <c r="F18" s="10">
        <f>LN(LOGEST(F7:F10,C7:C10))</f>
        <v>0.74165910861839901</v>
      </c>
      <c r="G18" s="13">
        <f>AVERAGE(D18:F18)</f>
        <v>0.73253262782873252</v>
      </c>
      <c r="H18" s="10">
        <f>STDEV(D18:F18)</f>
        <v>9.3729125570411378E-3</v>
      </c>
    </row>
    <row r="19" spans="3:8" ht="16" x14ac:dyDescent="0.2">
      <c r="C19" s="12" t="s">
        <v>11</v>
      </c>
      <c r="D19" s="10">
        <f>LN(2)/D18</f>
        <v>0.94562093119376478</v>
      </c>
      <c r="E19" s="10">
        <f t="shared" ref="E19" si="1">LN(2)/E18</f>
        <v>0.9588008566509022</v>
      </c>
      <c r="F19" s="10">
        <f>LN(2)/F18</f>
        <v>0.93458999222860717</v>
      </c>
      <c r="G19" s="13">
        <f>AVERAGE(D19:F19)</f>
        <v>0.94633726002442475</v>
      </c>
      <c r="H19" s="10">
        <f>STDEV(D19:F19)</f>
        <v>1.2121317348535752E-2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4" workbookViewId="0">
      <selection activeCell="H16" sqref="H16"/>
    </sheetView>
  </sheetViews>
  <sheetFormatPr baseColWidth="10" defaultColWidth="8.83203125" defaultRowHeight="15" x14ac:dyDescent="0.2"/>
  <cols>
    <col min="2" max="2" width="14.33203125" bestFit="1" customWidth="1"/>
  </cols>
  <sheetData>
    <row r="1" spans="1:7" ht="16" x14ac:dyDescent="0.2">
      <c r="A1" s="10"/>
    </row>
    <row r="2" spans="1:7" x14ac:dyDescent="0.2">
      <c r="A2" s="8"/>
    </row>
    <row r="3" spans="1:7" x14ac:dyDescent="0.2">
      <c r="A3" s="9" t="s">
        <v>14</v>
      </c>
    </row>
    <row r="4" spans="1:7" x14ac:dyDescent="0.2">
      <c r="A4" t="s">
        <v>15</v>
      </c>
    </row>
    <row r="5" spans="1:7" ht="16" x14ac:dyDescent="0.2">
      <c r="B5" s="11" t="s">
        <v>0</v>
      </c>
      <c r="C5" s="11" t="s">
        <v>1</v>
      </c>
      <c r="D5" s="3" t="s">
        <v>2</v>
      </c>
      <c r="E5" s="3" t="s">
        <v>3</v>
      </c>
      <c r="F5" s="3" t="s">
        <v>4</v>
      </c>
      <c r="G5" s="3" t="s">
        <v>5</v>
      </c>
    </row>
    <row r="6" spans="1:7" ht="16" x14ac:dyDescent="0.2">
      <c r="B6" s="12">
        <v>42593.361805555556</v>
      </c>
      <c r="C6" s="5">
        <f>(B6-$B$6)*24</f>
        <v>0</v>
      </c>
      <c r="D6" s="10">
        <v>8.9999999999999993E-3</v>
      </c>
      <c r="E6" s="10">
        <v>8.9999999999999993E-3</v>
      </c>
      <c r="F6" s="10">
        <v>8.9999999999999993E-3</v>
      </c>
      <c r="G6" s="6">
        <v>0</v>
      </c>
    </row>
    <row r="7" spans="1:7" ht="16" x14ac:dyDescent="0.2">
      <c r="B7" s="12">
        <v>42593.429166666669</v>
      </c>
      <c r="C7" s="5">
        <f t="shared" ref="C7:C13" si="0">(B7-$B$6)*24</f>
        <v>1.6166666666977108</v>
      </c>
      <c r="D7" s="10">
        <v>1.7999999999999999E-2</v>
      </c>
      <c r="E7" s="10">
        <v>0.02</v>
      </c>
      <c r="F7" s="10">
        <v>1.9E-2</v>
      </c>
      <c r="G7" s="6">
        <v>0</v>
      </c>
    </row>
    <row r="8" spans="1:7" ht="16" x14ac:dyDescent="0.2">
      <c r="B8" s="12">
        <v>42593.482638888891</v>
      </c>
      <c r="C8" s="5">
        <f t="shared" si="0"/>
        <v>2.9000000000232831</v>
      </c>
      <c r="D8" s="10">
        <v>3.7999999999999999E-2</v>
      </c>
      <c r="E8" s="10">
        <v>4.5999999999999999E-2</v>
      </c>
      <c r="F8" s="10">
        <v>4.2000000000000003E-2</v>
      </c>
      <c r="G8" s="6">
        <v>0</v>
      </c>
    </row>
    <row r="9" spans="1:7" ht="16" x14ac:dyDescent="0.2">
      <c r="B9" s="12">
        <v>42593.522222222222</v>
      </c>
      <c r="C9" s="5">
        <f t="shared" si="0"/>
        <v>3.8499999999767169</v>
      </c>
      <c r="D9" s="10">
        <v>7.5999999999999998E-2</v>
      </c>
      <c r="E9" s="10">
        <v>8.6999999999999994E-2</v>
      </c>
      <c r="F9" s="10">
        <v>8.3000000000000004E-2</v>
      </c>
      <c r="G9" s="6">
        <v>0</v>
      </c>
    </row>
    <row r="10" spans="1:7" ht="16" x14ac:dyDescent="0.2">
      <c r="B10" s="12">
        <v>42593.570138888892</v>
      </c>
      <c r="C10" s="5">
        <f t="shared" si="0"/>
        <v>5.0000000000582077</v>
      </c>
      <c r="D10" s="10">
        <v>0.17799999999999999</v>
      </c>
      <c r="E10" s="10">
        <v>0.19600000000000001</v>
      </c>
      <c r="F10" s="10">
        <v>0.19600000000000001</v>
      </c>
      <c r="G10" s="6">
        <v>0</v>
      </c>
    </row>
    <row r="11" spans="1:7" ht="16" x14ac:dyDescent="0.2">
      <c r="B11" s="12">
        <v>42593.609722222223</v>
      </c>
      <c r="C11" s="5">
        <f t="shared" si="0"/>
        <v>5.9500000000116415</v>
      </c>
      <c r="D11" s="10">
        <f>0.181*2</f>
        <v>0.36199999999999999</v>
      </c>
      <c r="E11" s="10">
        <f>0.197*2</f>
        <v>0.39400000000000002</v>
      </c>
      <c r="F11" s="10">
        <f>0.202*2</f>
        <v>0.40400000000000003</v>
      </c>
      <c r="G11" s="6">
        <v>0</v>
      </c>
    </row>
    <row r="12" spans="1:7" ht="16" x14ac:dyDescent="0.2">
      <c r="B12" s="12">
        <v>42593.645138888889</v>
      </c>
      <c r="C12" s="5">
        <f t="shared" si="0"/>
        <v>6.7999999999883585</v>
      </c>
      <c r="D12" s="10">
        <f>0.222*3</f>
        <v>0.66600000000000004</v>
      </c>
      <c r="E12" s="10">
        <f>0.236*3</f>
        <v>0.70799999999999996</v>
      </c>
      <c r="F12" s="10">
        <f>0.241*3</f>
        <v>0.72299999999999998</v>
      </c>
      <c r="G12" s="6">
        <v>0</v>
      </c>
    </row>
    <row r="13" spans="1:7" ht="16" x14ac:dyDescent="0.2">
      <c r="B13" s="12">
        <v>42593.685416666667</v>
      </c>
      <c r="C13" s="5">
        <f t="shared" si="0"/>
        <v>7.7666666666627862</v>
      </c>
      <c r="D13" s="10">
        <f>0.241*5</f>
        <v>1.2050000000000001</v>
      </c>
      <c r="E13" s="10">
        <f>0.242*5</f>
        <v>1.21</v>
      </c>
      <c r="F13" s="10">
        <f>0.254*5</f>
        <v>1.27</v>
      </c>
      <c r="G13" s="6">
        <v>1E-3</v>
      </c>
    </row>
    <row r="14" spans="1:7" ht="16" x14ac:dyDescent="0.2">
      <c r="B14" s="12"/>
      <c r="C14" s="5"/>
      <c r="D14" s="10"/>
      <c r="E14" s="10"/>
      <c r="F14" s="10"/>
      <c r="G14" s="6"/>
    </row>
    <row r="15" spans="1:7" ht="16" x14ac:dyDescent="0.2">
      <c r="B15" s="12"/>
      <c r="C15" s="5"/>
      <c r="D15" s="10"/>
      <c r="E15" s="10"/>
      <c r="F15" s="10"/>
      <c r="G15" s="6"/>
    </row>
    <row r="16" spans="1:7" ht="16" x14ac:dyDescent="0.2">
      <c r="B16" s="12"/>
      <c r="C16" s="12" t="s">
        <v>6</v>
      </c>
      <c r="D16" s="10">
        <v>6.63</v>
      </c>
      <c r="E16" s="10">
        <v>6.64</v>
      </c>
      <c r="F16" s="10">
        <v>6.64</v>
      </c>
      <c r="G16" s="10">
        <v>6.97</v>
      </c>
    </row>
    <row r="17" spans="3:8" x14ac:dyDescent="0.2">
      <c r="G17" t="s">
        <v>12</v>
      </c>
      <c r="H17" t="s">
        <v>13</v>
      </c>
    </row>
    <row r="18" spans="3:8" ht="16" x14ac:dyDescent="0.2">
      <c r="C18" s="11" t="s">
        <v>10</v>
      </c>
      <c r="D18" s="10">
        <f>LN(LOGEST(D8:D11,C8:C11))</f>
        <v>0.73916092238746389</v>
      </c>
      <c r="E18" s="10">
        <f>LN(LOGEST(E9:E12,C9:C12))</f>
        <v>0.71316296034735271</v>
      </c>
      <c r="F18" s="10">
        <f>LN(LOGEST(F8:F11,C8:C11))</f>
        <v>0.74283183069397007</v>
      </c>
      <c r="G18" s="13">
        <f>AVERAGE(D18:F18)</f>
        <v>0.73171857114292893</v>
      </c>
      <c r="H18" s="10">
        <f>STDEV(D18:F18)</f>
        <v>1.6174112369659471E-2</v>
      </c>
    </row>
    <row r="19" spans="3:8" ht="16" x14ac:dyDescent="0.2">
      <c r="C19" s="12" t="s">
        <v>11</v>
      </c>
      <c r="D19" s="10">
        <f>LN(2)/D18</f>
        <v>0.93774868173645354</v>
      </c>
      <c r="E19" s="10">
        <f t="shared" ref="E19:F19" si="1">LN(2)/E18</f>
        <v>0.97193379227426713</v>
      </c>
      <c r="F19" s="10">
        <f t="shared" si="1"/>
        <v>0.93311453806764277</v>
      </c>
      <c r="G19" s="13">
        <f>AVERAGE(D19:F19)</f>
        <v>0.94759900402612107</v>
      </c>
      <c r="H19" s="10">
        <f>STDEV(D19:F19)</f>
        <v>2.1201539123313018E-2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K18" sqref="K18"/>
    </sheetView>
  </sheetViews>
  <sheetFormatPr baseColWidth="10" defaultColWidth="8.83203125" defaultRowHeight="15" x14ac:dyDescent="0.2"/>
  <cols>
    <col min="2" max="2" width="13.1640625" bestFit="1" customWidth="1"/>
  </cols>
  <sheetData>
    <row r="1" spans="1:7" ht="16" x14ac:dyDescent="0.2">
      <c r="A1" s="7" t="s">
        <v>7</v>
      </c>
    </row>
    <row r="2" spans="1:7" x14ac:dyDescent="0.2">
      <c r="A2" s="8"/>
    </row>
    <row r="3" spans="1:7" x14ac:dyDescent="0.2">
      <c r="A3" s="9" t="s">
        <v>8</v>
      </c>
    </row>
    <row r="4" spans="1:7" x14ac:dyDescent="0.2">
      <c r="A4" t="s">
        <v>9</v>
      </c>
    </row>
    <row r="5" spans="1:7" ht="16" x14ac:dyDescent="0.2">
      <c r="B5" s="2" t="s">
        <v>0</v>
      </c>
      <c r="C5" s="2" t="s">
        <v>1</v>
      </c>
      <c r="D5" s="3" t="s">
        <v>2</v>
      </c>
      <c r="E5" s="3" t="s">
        <v>3</v>
      </c>
      <c r="F5" s="3" t="s">
        <v>4</v>
      </c>
      <c r="G5" s="3" t="s">
        <v>5</v>
      </c>
    </row>
    <row r="6" spans="1:7" ht="16" x14ac:dyDescent="0.2">
      <c r="B6" s="4">
        <v>42586.352083333331</v>
      </c>
      <c r="C6" s="5">
        <f>(B6-$B$6)*24</f>
        <v>0</v>
      </c>
      <c r="D6" s="1">
        <v>8.9999999999999993E-3</v>
      </c>
      <c r="E6" s="1">
        <v>0.01</v>
      </c>
      <c r="F6" s="1">
        <v>8.9999999999999993E-3</v>
      </c>
      <c r="G6" s="6">
        <v>0</v>
      </c>
    </row>
    <row r="7" spans="1:7" ht="16" x14ac:dyDescent="0.2">
      <c r="B7" s="4">
        <v>42586.406944444447</v>
      </c>
      <c r="C7" s="5">
        <f t="shared" ref="C7:C13" si="0">(B7-$B$6)*24</f>
        <v>1.3166666667675599</v>
      </c>
      <c r="D7" s="1">
        <v>1.6E-2</v>
      </c>
      <c r="E7" s="1">
        <v>1.6E-2</v>
      </c>
      <c r="F7" s="1">
        <v>1.6E-2</v>
      </c>
      <c r="G7" s="6">
        <v>0</v>
      </c>
    </row>
    <row r="8" spans="1:7" ht="16" x14ac:dyDescent="0.2">
      <c r="B8" s="4">
        <v>42586.472916666666</v>
      </c>
      <c r="C8" s="5">
        <f t="shared" si="0"/>
        <v>2.9000000000232831</v>
      </c>
      <c r="D8" s="1">
        <v>3.9E-2</v>
      </c>
      <c r="E8" s="1">
        <v>3.5000000000000003E-2</v>
      </c>
      <c r="F8" s="1">
        <v>4.1000000000000002E-2</v>
      </c>
      <c r="G8" s="6">
        <v>1E-3</v>
      </c>
    </row>
    <row r="9" spans="1:7" ht="16" x14ac:dyDescent="0.2">
      <c r="B9" s="4">
        <v>42586.532638888886</v>
      </c>
      <c r="C9" s="5">
        <f t="shared" si="0"/>
        <v>4.3333333333139308</v>
      </c>
      <c r="D9" s="1">
        <v>0.10199999999999999</v>
      </c>
      <c r="E9" s="1">
        <v>9.2999999999999999E-2</v>
      </c>
      <c r="F9" s="1">
        <v>0.112</v>
      </c>
      <c r="G9" s="6">
        <v>0</v>
      </c>
    </row>
    <row r="10" spans="1:7" ht="16" x14ac:dyDescent="0.2">
      <c r="B10" s="4">
        <v>42586.579861111109</v>
      </c>
      <c r="C10" s="5">
        <f t="shared" si="0"/>
        <v>5.4666666666744277</v>
      </c>
      <c r="D10" s="1">
        <v>0.224</v>
      </c>
      <c r="E10" s="1">
        <v>0.20399999999999999</v>
      </c>
      <c r="F10" s="1">
        <v>0.25</v>
      </c>
      <c r="G10" s="6">
        <v>0</v>
      </c>
    </row>
    <row r="11" spans="1:7" ht="16" x14ac:dyDescent="0.2">
      <c r="B11" s="4">
        <v>42586.636111111111</v>
      </c>
      <c r="C11" s="5">
        <f t="shared" si="0"/>
        <v>6.8166666667093523</v>
      </c>
      <c r="D11" s="1">
        <f>0.197*3</f>
        <v>0.59099999999999997</v>
      </c>
      <c r="E11" s="1">
        <f>0.179*3</f>
        <v>0.53699999999999992</v>
      </c>
      <c r="F11" s="1">
        <f>0.221*3</f>
        <v>0.66300000000000003</v>
      </c>
      <c r="G11" s="6">
        <v>0</v>
      </c>
    </row>
    <row r="12" spans="1:7" ht="16" x14ac:dyDescent="0.2">
      <c r="B12" s="4">
        <v>42586.676388888889</v>
      </c>
      <c r="C12" s="5">
        <f t="shared" si="0"/>
        <v>7.78333333338378</v>
      </c>
      <c r="D12" s="1">
        <f>0.254*4</f>
        <v>1.016</v>
      </c>
      <c r="E12" s="1">
        <f>0.235*4</f>
        <v>0.94</v>
      </c>
      <c r="F12" s="1">
        <f>0.277*4</f>
        <v>1.1080000000000001</v>
      </c>
      <c r="G12" s="6">
        <v>0</v>
      </c>
    </row>
    <row r="13" spans="1:7" ht="16" x14ac:dyDescent="0.2">
      <c r="B13" s="4">
        <v>42586.724305555559</v>
      </c>
      <c r="C13" s="5">
        <f t="shared" si="0"/>
        <v>8.9333333334652707</v>
      </c>
      <c r="D13" s="1">
        <f>0.277*6</f>
        <v>1.6620000000000001</v>
      </c>
      <c r="E13" s="1">
        <f>0.254*6</f>
        <v>1.524</v>
      </c>
      <c r="F13" s="1">
        <f>0.271*7</f>
        <v>1.8970000000000002</v>
      </c>
      <c r="G13" s="6">
        <v>1E-3</v>
      </c>
    </row>
    <row r="14" spans="1:7" ht="16" x14ac:dyDescent="0.2">
      <c r="B14" s="4"/>
      <c r="C14" s="5"/>
      <c r="D14" s="1"/>
      <c r="E14" s="1"/>
      <c r="F14" s="1"/>
      <c r="G14" s="6"/>
    </row>
    <row r="15" spans="1:7" ht="16" x14ac:dyDescent="0.2">
      <c r="B15" s="4"/>
      <c r="C15" s="5"/>
      <c r="D15" s="1"/>
      <c r="E15" s="1"/>
      <c r="F15" s="1"/>
      <c r="G15" s="6"/>
    </row>
    <row r="16" spans="1:7" ht="16" x14ac:dyDescent="0.2">
      <c r="B16" s="4"/>
      <c r="C16" s="4" t="s">
        <v>6</v>
      </c>
      <c r="D16" s="1">
        <v>6.52</v>
      </c>
      <c r="E16" s="1">
        <v>6.56</v>
      </c>
      <c r="F16" s="1">
        <v>6.49</v>
      </c>
      <c r="G16" s="1">
        <v>6.99</v>
      </c>
    </row>
    <row r="17" spans="3:8" x14ac:dyDescent="0.2">
      <c r="G17" t="s">
        <v>12</v>
      </c>
      <c r="H17" t="s">
        <v>13</v>
      </c>
    </row>
    <row r="18" spans="3:8" ht="16" x14ac:dyDescent="0.2">
      <c r="C18" s="11" t="s">
        <v>10</v>
      </c>
      <c r="D18" s="10">
        <f>LN(LOGEST(D8:D11,C8:C11))</f>
        <v>0.69386332832217645</v>
      </c>
      <c r="E18" s="10">
        <f>LN(LOGEST(E8:E11,C8:C11))</f>
        <v>0.69674991618636462</v>
      </c>
      <c r="F18" s="10">
        <f>LN(LOGEST(F8:F11,C8:C11))</f>
        <v>0.71036790392260751</v>
      </c>
      <c r="G18" s="13">
        <f>AVERAGE(D18:F18)</f>
        <v>0.7003270494770496</v>
      </c>
      <c r="H18" s="10">
        <f>STDEV(D18:F18)</f>
        <v>8.8145995865995391E-3</v>
      </c>
    </row>
    <row r="19" spans="3:8" ht="16" x14ac:dyDescent="0.2">
      <c r="C19" s="12" t="s">
        <v>11</v>
      </c>
      <c r="D19" s="10">
        <f>LN(2)/D18</f>
        <v>0.99896788353988553</v>
      </c>
      <c r="E19" s="10">
        <f t="shared" ref="E19:F19" si="1">LN(2)/E18</f>
        <v>0.99482922704011389</v>
      </c>
      <c r="F19" s="10">
        <f t="shared" si="1"/>
        <v>0.97575802162855263</v>
      </c>
      <c r="G19" s="13">
        <f>AVERAGE(D19:F19)</f>
        <v>0.98985171073618405</v>
      </c>
      <c r="H19" s="10">
        <f>STDEV(D19:F19)</f>
        <v>1.2379667762209985E-2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opLeftCell="A4" workbookViewId="0">
      <selection activeCell="G20" sqref="G20"/>
    </sheetView>
  </sheetViews>
  <sheetFormatPr baseColWidth="10" defaultColWidth="8.83203125" defaultRowHeight="15" x14ac:dyDescent="0.2"/>
  <cols>
    <col min="2" max="2" width="18.5" customWidth="1"/>
  </cols>
  <sheetData>
    <row r="3" spans="1:7" x14ac:dyDescent="0.2">
      <c r="A3" s="9" t="s">
        <v>20</v>
      </c>
    </row>
    <row r="4" spans="1:7" x14ac:dyDescent="0.2">
      <c r="A4" t="s">
        <v>19</v>
      </c>
    </row>
    <row r="5" spans="1:7" ht="16" x14ac:dyDescent="0.2">
      <c r="B5" s="15" t="s">
        <v>0</v>
      </c>
      <c r="C5" s="15" t="s">
        <v>1</v>
      </c>
      <c r="D5" s="16" t="s">
        <v>2</v>
      </c>
      <c r="E5" s="16" t="s">
        <v>3</v>
      </c>
      <c r="F5" s="16" t="s">
        <v>4</v>
      </c>
      <c r="G5" s="16" t="s">
        <v>5</v>
      </c>
    </row>
    <row r="6" spans="1:7" ht="16" x14ac:dyDescent="0.2">
      <c r="B6" s="17">
        <v>42558.383333333331</v>
      </c>
      <c r="C6" s="18">
        <v>0</v>
      </c>
      <c r="D6" s="14">
        <v>8.0000000000000002E-3</v>
      </c>
      <c r="E6" s="14">
        <v>8.9999999999999993E-3</v>
      </c>
      <c r="F6" s="14">
        <v>8.9999999999999993E-3</v>
      </c>
      <c r="G6" s="14">
        <v>0</v>
      </c>
    </row>
    <row r="7" spans="1:7" ht="16" x14ac:dyDescent="0.2">
      <c r="B7" s="17">
        <v>42558.433333333334</v>
      </c>
      <c r="C7" s="18">
        <v>1.2000000000698492</v>
      </c>
      <c r="D7" s="14">
        <v>1.2999999999999999E-2</v>
      </c>
      <c r="E7" s="14">
        <v>1.4999999999999999E-2</v>
      </c>
      <c r="F7" s="14">
        <v>1.4999999999999999E-2</v>
      </c>
      <c r="G7" s="14">
        <v>0</v>
      </c>
    </row>
    <row r="8" spans="1:7" ht="16" x14ac:dyDescent="0.2">
      <c r="B8" s="17">
        <v>42558.472222222219</v>
      </c>
      <c r="C8" s="18">
        <v>2.1333333333022892</v>
      </c>
      <c r="D8" s="14">
        <v>2.1000000000000001E-2</v>
      </c>
      <c r="E8" s="14">
        <v>2.7E-2</v>
      </c>
      <c r="F8" s="14">
        <v>2.5000000000000001E-2</v>
      </c>
      <c r="G8" s="14">
        <v>0</v>
      </c>
    </row>
    <row r="9" spans="1:7" ht="16" x14ac:dyDescent="0.2">
      <c r="B9" s="17">
        <v>42558.515277777777</v>
      </c>
      <c r="C9" s="18">
        <v>3.1666666666860692</v>
      </c>
      <c r="D9" s="14">
        <v>3.9E-2</v>
      </c>
      <c r="E9" s="14">
        <v>4.4999999999999998E-2</v>
      </c>
      <c r="F9" s="14">
        <v>4.7E-2</v>
      </c>
      <c r="G9" s="14">
        <v>0</v>
      </c>
    </row>
    <row r="10" spans="1:7" ht="16" x14ac:dyDescent="0.2">
      <c r="B10" s="17">
        <v>42558.554166666669</v>
      </c>
      <c r="C10" s="18">
        <v>4.1000000000931323</v>
      </c>
      <c r="D10" s="14">
        <v>7.2999999999999995E-2</v>
      </c>
      <c r="E10" s="14">
        <v>8.3000000000000004E-2</v>
      </c>
      <c r="F10" s="14">
        <v>8.8999999999999996E-2</v>
      </c>
      <c r="G10" s="14">
        <v>0</v>
      </c>
    </row>
    <row r="11" spans="1:7" ht="16" x14ac:dyDescent="0.2">
      <c r="B11" s="17">
        <v>42558.595833333333</v>
      </c>
      <c r="C11" s="18">
        <v>5.1000000000349246</v>
      </c>
      <c r="D11" s="14">
        <v>0.14199999999999999</v>
      </c>
      <c r="E11" s="14">
        <v>0.16</v>
      </c>
      <c r="F11" s="14">
        <v>0.17599999999999999</v>
      </c>
      <c r="G11" s="14">
        <v>0</v>
      </c>
    </row>
    <row r="12" spans="1:7" ht="16" x14ac:dyDescent="0.2">
      <c r="B12" s="17">
        <v>42558.636805555558</v>
      </c>
      <c r="C12" s="18">
        <v>6.0833333334303461</v>
      </c>
      <c r="D12" s="14">
        <v>0.27700000000000002</v>
      </c>
      <c r="E12" s="14">
        <v>0.32200000000000001</v>
      </c>
      <c r="F12" s="14">
        <v>0.36</v>
      </c>
      <c r="G12" s="14">
        <v>0</v>
      </c>
    </row>
    <row r="13" spans="1:7" ht="16" x14ac:dyDescent="0.2">
      <c r="B13" s="17">
        <v>42558.679166666669</v>
      </c>
      <c r="C13" s="18">
        <v>7.1000000000931323</v>
      </c>
      <c r="D13" s="14">
        <v>0.54899999999999993</v>
      </c>
      <c r="E13" s="14">
        <v>0.60000000000000009</v>
      </c>
      <c r="F13" s="14">
        <v>0.66300000000000003</v>
      </c>
      <c r="G13" s="14">
        <v>0</v>
      </c>
    </row>
    <row r="14" spans="1:7" ht="16" x14ac:dyDescent="0.2">
      <c r="B14" s="17">
        <v>42558.720138888886</v>
      </c>
      <c r="C14" s="18">
        <v>8.0833333333139308</v>
      </c>
      <c r="D14" s="14">
        <v>0.93600000000000005</v>
      </c>
      <c r="E14" s="14">
        <v>0.98399999999999999</v>
      </c>
      <c r="F14" s="14">
        <v>1.0680000000000001</v>
      </c>
      <c r="G14" s="14">
        <v>0</v>
      </c>
    </row>
    <row r="15" spans="1:7" ht="16" x14ac:dyDescent="0.2">
      <c r="B15" s="17">
        <v>42558.773611111108</v>
      </c>
      <c r="C15" s="18">
        <v>9.3666666666395031</v>
      </c>
      <c r="D15" s="14">
        <v>1.7709999999999999</v>
      </c>
      <c r="E15" s="14">
        <v>1.6380000000000001</v>
      </c>
      <c r="F15" s="14">
        <v>1.6589999999999998</v>
      </c>
      <c r="G15" s="14">
        <v>0</v>
      </c>
    </row>
    <row r="16" spans="1:7" ht="16" x14ac:dyDescent="0.2">
      <c r="B16" s="17"/>
    </row>
    <row r="18" spans="3:8" ht="16" x14ac:dyDescent="0.2">
      <c r="C18" s="17" t="s">
        <v>6</v>
      </c>
      <c r="D18" s="14">
        <v>6.33</v>
      </c>
      <c r="E18" s="14">
        <v>6.4</v>
      </c>
      <c r="F18" s="14">
        <v>6.4</v>
      </c>
      <c r="G18" s="14">
        <v>7</v>
      </c>
    </row>
    <row r="20" spans="3:8" ht="16" x14ac:dyDescent="0.2">
      <c r="C20" s="15" t="s">
        <v>10</v>
      </c>
      <c r="D20" s="14">
        <f>LN(LOGEST(D9:D13,C9:C13))</f>
        <v>0.67235845215959567</v>
      </c>
      <c r="E20" s="14">
        <f>LN(LOGEST(E9:E12,C9:C12))</f>
        <v>0.67291320636014829</v>
      </c>
      <c r="F20" s="14">
        <f>LN(LOGEST(F9:F12,C9:C12))</f>
        <v>0.69645001466893641</v>
      </c>
      <c r="G20" s="13">
        <f>AVERAGE(D20:F20)</f>
        <v>0.68057389106289345</v>
      </c>
      <c r="H20" s="14">
        <f>STDEV(D20:F20)</f>
        <v>1.3751923997082137E-2</v>
      </c>
    </row>
    <row r="21" spans="3:8" ht="16" x14ac:dyDescent="0.2">
      <c r="C21" s="17" t="s">
        <v>11</v>
      </c>
      <c r="D21" s="14">
        <f>LN(2)/D20</f>
        <v>1.0309191151439785</v>
      </c>
      <c r="E21" s="14">
        <f t="shared" ref="E21:F21" si="0">LN(2)/E20</f>
        <v>1.0300692184497975</v>
      </c>
      <c r="F21" s="14">
        <f t="shared" si="0"/>
        <v>0.99525761499113308</v>
      </c>
      <c r="G21" s="13">
        <f>AVERAGE(D21:F21)</f>
        <v>1.0187486495283029</v>
      </c>
      <c r="H21" s="14">
        <f>STDEV(D21:F21)</f>
        <v>2.0348270413417899E-2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Acid vs Growthrate</vt:lpstr>
      <vt:lpstr>4gperL+glucose</vt:lpstr>
      <vt:lpstr>20gperL+glucose</vt:lpstr>
      <vt:lpstr>10gperL+glucose</vt:lpstr>
      <vt:lpstr>5gperL+glucose</vt:lpstr>
      <vt:lpstr>3gperL+glucose</vt:lpstr>
      <vt:lpstr>1gperL+glucose</vt:lpstr>
      <vt:lpstr>0gperL+glucose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Schepens, Diana</dc:creator>
  <cp:lastModifiedBy>Microsoft Office User</cp:lastModifiedBy>
  <dcterms:created xsi:type="dcterms:W3CDTF">2016-08-04T18:58:08Z</dcterms:created>
  <dcterms:modified xsi:type="dcterms:W3CDTF">2018-03-13T23:19:48Z</dcterms:modified>
</cp:coreProperties>
</file>