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505"/>
  <workbookPr/>
  <mc:AlternateContent xmlns:mc="http://schemas.openxmlformats.org/markup-compatibility/2006">
    <mc:Choice Requires="x15">
      <x15ac:absPath xmlns:x15ac="http://schemas.microsoft.com/office/spreadsheetml/2010/11/ac" url="/Users/schepens/Desktop/Paper/"/>
    </mc:Choice>
  </mc:AlternateContent>
  <bookViews>
    <workbookView xWindow="1140" yWindow="460" windowWidth="27120" windowHeight="17200"/>
  </bookViews>
  <sheets>
    <sheet name="Sheet1" sheetId="4" r:id="rId1"/>
    <sheet name="Sheet2" sheetId="5" r:id="rId2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4" l="1"/>
  <c r="I16" i="4"/>
  <c r="L30" i="4"/>
  <c r="K30" i="4"/>
  <c r="L43" i="4"/>
  <c r="L37" i="4"/>
  <c r="L18" i="4"/>
  <c r="L3" i="4"/>
  <c r="K43" i="4"/>
  <c r="K37" i="4"/>
  <c r="K18" i="4"/>
  <c r="K3" i="4"/>
  <c r="C6" i="5"/>
  <c r="C8" i="5"/>
  <c r="C7" i="5"/>
  <c r="C5" i="5"/>
  <c r="C4" i="5"/>
  <c r="C14" i="5"/>
  <c r="D37" i="5"/>
  <c r="G37" i="5"/>
  <c r="N5" i="5"/>
  <c r="C15" i="5"/>
  <c r="D38" i="5"/>
  <c r="G38" i="5"/>
  <c r="O5" i="5"/>
  <c r="F37" i="5"/>
  <c r="F38" i="5"/>
  <c r="M5" i="5"/>
  <c r="C13" i="5"/>
  <c r="D36" i="5"/>
  <c r="G36" i="5"/>
  <c r="C16" i="5"/>
  <c r="D39" i="5"/>
  <c r="G39" i="5"/>
  <c r="C12" i="5"/>
  <c r="D35" i="5"/>
  <c r="G35" i="5"/>
  <c r="F35" i="5"/>
  <c r="F36" i="5"/>
  <c r="F39" i="5"/>
  <c r="E35" i="5"/>
  <c r="L5" i="5"/>
  <c r="K5" i="5"/>
  <c r="D15" i="5"/>
  <c r="O4" i="5"/>
  <c r="D14" i="5"/>
  <c r="N4" i="5"/>
  <c r="M4" i="5"/>
  <c r="L4" i="5"/>
  <c r="K4" i="5"/>
  <c r="E36" i="5"/>
  <c r="E37" i="5"/>
  <c r="E38" i="5"/>
  <c r="E39" i="5"/>
  <c r="C28" i="5"/>
  <c r="D28" i="5"/>
  <c r="C29" i="5"/>
  <c r="D29" i="5"/>
  <c r="C30" i="5"/>
  <c r="D30" i="5"/>
  <c r="C31" i="5"/>
  <c r="D31" i="5"/>
  <c r="C27" i="5"/>
  <c r="D27" i="5"/>
  <c r="G13" i="5"/>
  <c r="H13" i="5"/>
  <c r="D20" i="5"/>
  <c r="G14" i="5"/>
  <c r="H14" i="5"/>
  <c r="D21" i="5"/>
  <c r="G15" i="5"/>
  <c r="H15" i="5"/>
  <c r="D22" i="5"/>
  <c r="G16" i="5"/>
  <c r="H16" i="5"/>
  <c r="D23" i="5"/>
  <c r="G12" i="5"/>
  <c r="H12" i="5"/>
  <c r="D19" i="5"/>
  <c r="D13" i="5"/>
  <c r="E13" i="5"/>
  <c r="C20" i="5"/>
  <c r="E14" i="5"/>
  <c r="C21" i="5"/>
  <c r="E15" i="5"/>
  <c r="C22" i="5"/>
  <c r="D16" i="5"/>
  <c r="E16" i="5"/>
  <c r="C23" i="5"/>
  <c r="D12" i="5"/>
  <c r="E12" i="5"/>
  <c r="C19" i="5"/>
  <c r="L45" i="4"/>
  <c r="L46" i="4"/>
  <c r="L47" i="4"/>
  <c r="L48" i="4"/>
  <c r="L44" i="4"/>
  <c r="K45" i="4"/>
  <c r="K46" i="4"/>
  <c r="K47" i="4"/>
  <c r="K48" i="4"/>
  <c r="K44" i="4"/>
  <c r="L39" i="4"/>
  <c r="L40" i="4"/>
  <c r="L38" i="4"/>
  <c r="K39" i="4"/>
  <c r="K40" i="4"/>
  <c r="K38" i="4"/>
  <c r="L32" i="4"/>
  <c r="L33" i="4"/>
  <c r="L34" i="4"/>
  <c r="K32" i="4"/>
  <c r="K34" i="4"/>
  <c r="L31" i="4"/>
  <c r="L27" i="4"/>
  <c r="K31" i="4"/>
  <c r="L20" i="4"/>
  <c r="L21" i="4"/>
  <c r="L22" i="4"/>
  <c r="L23" i="4"/>
  <c r="L24" i="4"/>
  <c r="L25" i="4"/>
  <c r="L26" i="4"/>
  <c r="L19" i="4"/>
  <c r="K20" i="4"/>
  <c r="K21" i="4"/>
  <c r="K22" i="4"/>
  <c r="K23" i="4"/>
  <c r="K24" i="4"/>
  <c r="K25" i="4"/>
  <c r="K26" i="4"/>
  <c r="K27" i="4"/>
  <c r="K19" i="4"/>
  <c r="K5" i="4"/>
  <c r="L5" i="4"/>
  <c r="K6" i="4"/>
  <c r="L6" i="4"/>
  <c r="K7" i="4"/>
  <c r="L7" i="4"/>
  <c r="K8" i="4"/>
  <c r="L8" i="4"/>
  <c r="L9" i="4"/>
  <c r="L11" i="4"/>
  <c r="K13" i="4"/>
  <c r="L13" i="4"/>
  <c r="K14" i="4"/>
  <c r="L14" i="4"/>
  <c r="L4" i="4"/>
  <c r="K11" i="4"/>
  <c r="K9" i="4"/>
  <c r="I49" i="4"/>
  <c r="I41" i="4"/>
  <c r="I35" i="4"/>
  <c r="I28" i="4"/>
  <c r="I32" i="4"/>
  <c r="G48" i="4"/>
  <c r="I48" i="4"/>
  <c r="I47" i="4"/>
  <c r="G46" i="4"/>
  <c r="G40" i="4"/>
  <c r="I40" i="4"/>
  <c r="I44" i="4"/>
  <c r="G44" i="4"/>
  <c r="G34" i="4"/>
  <c r="I34" i="4"/>
  <c r="G27" i="4"/>
  <c r="I25" i="4"/>
  <c r="I24" i="4"/>
  <c r="I23" i="4"/>
  <c r="I21" i="4"/>
  <c r="I19" i="4"/>
  <c r="G19" i="4"/>
  <c r="I13" i="4"/>
  <c r="I9" i="4"/>
  <c r="G9" i="4"/>
  <c r="G8" i="4"/>
  <c r="I5" i="4"/>
  <c r="G5" i="4"/>
  <c r="I4" i="4"/>
</calcChain>
</file>

<file path=xl/sharedStrings.xml><?xml version="1.0" encoding="utf-8"?>
<sst xmlns="http://schemas.openxmlformats.org/spreadsheetml/2006/main" count="343" uniqueCount="227">
  <si>
    <t>E.C. #</t>
  </si>
  <si>
    <t>Reaction</t>
  </si>
  <si>
    <t>Enzyme</t>
  </si>
  <si>
    <t>Gene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</si>
  <si>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cat</t>
    </r>
    <r>
      <rPr>
        <b/>
        <sz val="11"/>
        <color theme="1"/>
        <rFont val="Calibri"/>
        <family val="2"/>
        <scheme val="minor"/>
      </rPr>
      <t xml:space="preserve"> (1/s)</t>
    </r>
  </si>
  <si>
    <t>Notes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</si>
  <si>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 xml:space="preserve"> (mM)</t>
    </r>
  </si>
  <si>
    <t>Subunits</t>
  </si>
  <si>
    <t>hexamer</t>
  </si>
  <si>
    <t>Escherichia coli</t>
  </si>
  <si>
    <t>dimer</t>
  </si>
  <si>
    <t>Arginine Biosynthesis</t>
  </si>
  <si>
    <t>2.3.1.1</t>
  </si>
  <si>
    <r>
      <t>1 L-glutamate + 1 acetyl-CoA &lt;==&gt; 1 N-acetyl-L-glutamate + 1 coenzyme_A + 1 H</t>
    </r>
    <r>
      <rPr>
        <vertAlign val="superscript"/>
        <sz val="11"/>
        <color theme="1"/>
        <rFont val="Calibri"/>
        <family val="2"/>
        <scheme val="minor"/>
      </rPr>
      <t>+</t>
    </r>
  </si>
  <si>
    <t>N-acetylglutamate synthase</t>
  </si>
  <si>
    <t>argA</t>
  </si>
  <si>
    <t>Mycobacterium tuberculosis</t>
  </si>
  <si>
    <r>
      <t>Pseudomonas aeruginosa</t>
    </r>
    <r>
      <rPr>
        <sz val="11"/>
        <color theme="1"/>
        <rFont val="Calibri"/>
        <family val="2"/>
        <scheme val="minor"/>
      </rPr>
      <t xml:space="preserve"> wild-type</t>
    </r>
  </si>
  <si>
    <t>2.7.2.8</t>
  </si>
  <si>
    <t>1 N-acetyl-L-glutamate + 1 ATP ==&gt; 1 N-acetylglutamyl-phosphate + 1 ADP</t>
  </si>
  <si>
    <t>acetylglutamate kinase</t>
  </si>
  <si>
    <t>argB</t>
  </si>
  <si>
    <r>
      <rPr>
        <i/>
        <sz val="11"/>
        <color theme="1"/>
        <rFont val="Calibri"/>
        <family val="2"/>
        <scheme val="minor"/>
      </rPr>
      <t>Corynebacterium</t>
    </r>
    <r>
      <rPr>
        <sz val="11"/>
        <color theme="1"/>
        <rFont val="Calibri"/>
        <family val="2"/>
        <scheme val="minor"/>
      </rPr>
      <t xml:space="preserve"> wild-type species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</si>
  <si>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wild-type, pH 7.0, 25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C/37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</si>
  <si>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t>1.2.1.38</t>
  </si>
  <si>
    <r>
      <t>1 N-acetylglutamyl-phosphate + 1 NADPH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&lt;==&gt; 1 N-acetyl-L-glutamate_5-semialdehyde + 1 NADP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+ 1 phosphate</t>
    </r>
  </si>
  <si>
    <t>N-acetylglutamylphosphate reductase</t>
  </si>
  <si>
    <t>argC</t>
  </si>
  <si>
    <t>unknown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</si>
  <si>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(N-acetyl-L-glutamate-5-semialdehyde substrate)</t>
    </r>
  </si>
  <si>
    <r>
      <rPr>
        <i/>
        <sz val="11"/>
        <color theme="1"/>
        <rFont val="Calibri"/>
        <family val="2"/>
        <scheme val="minor"/>
      </rPr>
      <t>Mycobacterium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Neurospora</t>
    </r>
    <r>
      <rPr>
        <sz val="11"/>
        <color theme="1"/>
        <rFont val="Calibri"/>
        <family val="2"/>
        <scheme val="minor"/>
      </rPr>
      <t xml:space="preserve"> species</t>
    </r>
  </si>
  <si>
    <t>2.6.1.11</t>
  </si>
  <si>
    <t>1 N-acetyl-L-glutamate_5-semialdehyde + 1 L-glutamate ==&gt; 1 N-acetyl-L-ornithine + 1 2-oxoglutarate</t>
  </si>
  <si>
    <r>
      <rPr>
        <i/>
        <sz val="11"/>
        <color theme="1"/>
        <rFont val="Calibri"/>
        <family val="2"/>
        <scheme val="minor"/>
      </rPr>
      <t>Salmonella enterica</t>
    </r>
    <r>
      <rPr>
        <sz val="11"/>
        <color theme="1"/>
        <rFont val="Calibri"/>
        <family val="2"/>
        <scheme val="minor"/>
      </rPr>
      <t xml:space="preserve"> (acetyl-L-ornithine substrate)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</si>
  <si>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(acetyl-L-ornithine substrate)</t>
    </r>
  </si>
  <si>
    <r>
      <rPr>
        <i/>
        <sz val="11"/>
        <color theme="1"/>
        <rFont val="Calibri"/>
        <family val="2"/>
        <scheme val="minor"/>
      </rPr>
      <t>Enterobacter aerogenes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Pseudomonas aeruginosa</t>
    </r>
  </si>
  <si>
    <t>N-acetylornithine aminotransferase/N-succinyldiaminopimelate aminotransferase</t>
  </si>
  <si>
    <t>argD</t>
  </si>
  <si>
    <t>3.5.1.16</t>
  </si>
  <si>
    <r>
      <t>1 N-acetyl-L-ornithine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==&gt; 1 L-ornithine + 1 acetate</t>
    </r>
  </si>
  <si>
    <t>acetylornithine deacetylase</t>
  </si>
  <si>
    <t>argE</t>
  </si>
  <si>
    <t>6.3.5.5</t>
  </si>
  <si>
    <r>
      <t>2 ATP + 1 L-glutamine + 1 hydrogen_carbonate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==&gt; 1 carbamoyl_phosphate + 1 L-glutamate + 2 ADP + 1 phosphate + 2 H</t>
    </r>
    <r>
      <rPr>
        <vertAlign val="superscript"/>
        <sz val="11"/>
        <color theme="1"/>
        <rFont val="Calibri"/>
        <family val="2"/>
        <scheme val="minor"/>
      </rPr>
      <t>+</t>
    </r>
  </si>
  <si>
    <r>
      <t xml:space="preserve">carbamoyl phosphate synthetase subunit </t>
    </r>
    <r>
      <rPr>
        <sz val="11"/>
        <color theme="1"/>
        <rFont val="Calibri"/>
        <family val="2"/>
      </rPr>
      <t>β</t>
    </r>
  </si>
  <si>
    <t>carB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</si>
  <si>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wild-type</t>
    </r>
  </si>
  <si>
    <r>
      <t xml:space="preserve">Escherichia coli </t>
    </r>
    <r>
      <rPr>
        <sz val="11"/>
        <color theme="1"/>
        <rFont val="Calibri"/>
        <family val="2"/>
        <scheme val="minor"/>
      </rPr>
      <t>wild-type</t>
    </r>
  </si>
  <si>
    <r>
      <t xml:space="preserve">carbamoyl phosphate synthetase subunit </t>
    </r>
    <r>
      <rPr>
        <sz val="11"/>
        <color theme="1"/>
        <rFont val="Calibri"/>
        <family val="2"/>
      </rPr>
      <t>α</t>
    </r>
  </si>
  <si>
    <t>carA</t>
  </si>
  <si>
    <t>2.1.3.3</t>
  </si>
  <si>
    <r>
      <t>1 L-ornithine + 1 carbamoyl_phosphate &lt;==&gt; 1 L-citrulline + 1 phosphate + 1 H</t>
    </r>
    <r>
      <rPr>
        <vertAlign val="superscript"/>
        <sz val="11"/>
        <color theme="1"/>
        <rFont val="Calibri"/>
        <family val="2"/>
        <scheme val="minor"/>
      </rPr>
      <t>+</t>
    </r>
  </si>
  <si>
    <t>ornithine carbamoyltansferase</t>
  </si>
  <si>
    <t>argF</t>
  </si>
  <si>
    <t>Pseudomonas savastanoi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</si>
  <si>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(ornithine substrate)</t>
    </r>
  </si>
  <si>
    <t>trimer</t>
  </si>
  <si>
    <t>argI</t>
  </si>
  <si>
    <t>6.3.4.5</t>
  </si>
  <si>
    <r>
      <t>1 L-aspartate + 1 L-citrulline + 1 ATP ==&gt; 1 L-arginino-succinate + 1 AMP + 1 diphosphate + 1 H</t>
    </r>
    <r>
      <rPr>
        <vertAlign val="superscript"/>
        <sz val="11"/>
        <color theme="1"/>
        <rFont val="Calibri"/>
        <family val="2"/>
        <scheme val="minor"/>
      </rPr>
      <t>+</t>
    </r>
  </si>
  <si>
    <t>argininosuccinate synthetase</t>
  </si>
  <si>
    <t>argG</t>
  </si>
  <si>
    <t>Only eukaryotic species available</t>
  </si>
  <si>
    <t>tetramer</t>
  </si>
  <si>
    <t>4.3.2.1</t>
  </si>
  <si>
    <t>1 L-arginino-succinate &lt;==&gt; 1 L-arginine + 1 fumarate</t>
  </si>
  <si>
    <t>argininosuccinate lyase</t>
  </si>
  <si>
    <t>argH</t>
  </si>
  <si>
    <r>
      <rPr>
        <i/>
        <sz val="11"/>
        <color theme="1"/>
        <rFont val="Calibri"/>
        <family val="2"/>
        <scheme val="minor"/>
      </rPr>
      <t>Anas platyrynchos</t>
    </r>
    <r>
      <rPr>
        <sz val="11"/>
        <color theme="1"/>
        <rFont val="Calibri"/>
        <family val="2"/>
        <scheme val="minor"/>
      </rPr>
      <t xml:space="preserve"> species wild-type</t>
    </r>
  </si>
  <si>
    <t>Chlamydomonas reinhardtii</t>
  </si>
  <si>
    <t>Lysine Biosynthesis</t>
  </si>
  <si>
    <t>2.7.2.4</t>
  </si>
  <si>
    <t>1 L-aspartate + 1 ATP ==&gt; 1 L-aspartyl-4-phosphate + 1 ADP</t>
  </si>
  <si>
    <t>aspartate kinase III</t>
  </si>
  <si>
    <t>lysC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</si>
  <si>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(aspartokinase I, II, III)</t>
    </r>
  </si>
  <si>
    <t>1.2.1.11</t>
  </si>
  <si>
    <r>
      <t>1 L-aspartyl-4-phosphate + 1 NADPH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&lt;==&gt; 1 L-aspartate-semialdehyde + 1 NADP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+ 1 phosphate</t>
    </r>
  </si>
  <si>
    <t>aspartate-semialdehyde dehydrogenase</t>
  </si>
  <si>
    <t>asd</t>
  </si>
  <si>
    <t>Arabidopsis thaliana</t>
  </si>
  <si>
    <r>
      <rPr>
        <i/>
        <sz val="11"/>
        <color theme="1"/>
        <rFont val="Calibri"/>
        <family val="2"/>
        <scheme val="minor"/>
      </rPr>
      <t>Saccharomyces cerevisiae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Salmonella enterica</t>
    </r>
  </si>
  <si>
    <t>4.3.3.7</t>
  </si>
  <si>
    <r>
      <t>1 L-aspartate-semialdehyde + 1 pyruvate ==&gt; 1 2S4S-4-hydroxy-2345-tetrahydrodipicolinate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+ 1 H</t>
    </r>
    <r>
      <rPr>
        <vertAlign val="superscript"/>
        <sz val="11"/>
        <color theme="1"/>
        <rFont val="Calibri"/>
        <family val="2"/>
        <scheme val="minor"/>
      </rPr>
      <t>+</t>
    </r>
  </si>
  <si>
    <t>4-hydroxy-tetrahydrodipicolinate synthase</t>
  </si>
  <si>
    <t>dapA</t>
  </si>
  <si>
    <t>1.17.1.8</t>
  </si>
  <si>
    <r>
      <t>1 2S4S-4-hydroxy-2345-tetrahydrodipicolinate + 1 NADPH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==&gt; 1S-2345-tetrahydrodipicolinate + 1 NADP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</si>
  <si>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4-hydroxy-tetrahydrodipicolinate reductase</t>
  </si>
  <si>
    <t>dapB</t>
  </si>
  <si>
    <t>Staphylococcus aureus</t>
  </si>
  <si>
    <t>2.3.1.117</t>
  </si>
  <si>
    <r>
      <t>1 S-2345-tetrahydrodipicolinate + 1 succinyl-CoA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==&gt; 1 N-succinyl-2-amino-6-ketopimelate + 1 coenzyme_A</t>
    </r>
  </si>
  <si>
    <t>tetrahydrodipicolinate succinylase</t>
  </si>
  <si>
    <t>dapD</t>
  </si>
  <si>
    <t>2.6.1.17</t>
  </si>
  <si>
    <t>1 L-glutamate + 1 N-succinyl-2-amino-6-ketopimelate &lt;==&gt; 1 2-oxoglutarate + 1 N-succinyl-LL-26-diaminopimelate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</si>
  <si>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(glutamate substrate)</t>
    </r>
  </si>
  <si>
    <t>3.5.1.18</t>
  </si>
  <si>
    <r>
      <t>1 N-succinyl-LL-26-diaminopimelate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&lt;==&gt; 1 LL-diaminopimelate + 1 succinate</t>
    </r>
  </si>
  <si>
    <t>succinyl-diaminopimelate desuccinylase</t>
  </si>
  <si>
    <t>dapE</t>
  </si>
  <si>
    <r>
      <rPr>
        <i/>
        <sz val="11"/>
        <color theme="1"/>
        <rFont val="Calibri"/>
        <family val="2"/>
        <scheme val="minor"/>
      </rPr>
      <t>Haemophilus influenzae</t>
    </r>
    <r>
      <rPr>
        <sz val="11"/>
        <color theme="1"/>
        <rFont val="Calibri"/>
        <family val="2"/>
        <scheme val="minor"/>
      </rPr>
      <t xml:space="preserve"> wild-type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</si>
  <si>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>, pH 8.1, 37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</si>
  <si>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r>
      <rPr>
        <i/>
        <sz val="11"/>
        <color theme="1"/>
        <rFont val="Calibri"/>
        <family val="2"/>
        <scheme val="minor"/>
      </rPr>
      <t>Salmonella enterica</t>
    </r>
    <r>
      <rPr>
        <sz val="11"/>
        <color theme="1"/>
        <rFont val="Calibri"/>
        <family val="2"/>
        <scheme val="minor"/>
      </rPr>
      <t xml:space="preserve"> and others</t>
    </r>
  </si>
  <si>
    <t>5.1.1.7</t>
  </si>
  <si>
    <t>1 LL-diaminopimelate &lt;==&gt; 1 meso-diaminopimelate</t>
  </si>
  <si>
    <t>diaminopimelate epimerase</t>
  </si>
  <si>
    <t>dapF</t>
  </si>
  <si>
    <t>4.1.1.20</t>
  </si>
  <si>
    <r>
      <t>1 meso-diaminopimelate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==&gt; 1 L-lysine + 1 CO</t>
    </r>
    <r>
      <rPr>
        <vertAlign val="subscript"/>
        <sz val="11"/>
        <color theme="1"/>
        <rFont val="Calibri"/>
        <family val="2"/>
        <scheme val="minor"/>
      </rPr>
      <t>2</t>
    </r>
  </si>
  <si>
    <t>diaminopimelate decarboxylase</t>
  </si>
  <si>
    <t>lysA</t>
  </si>
  <si>
    <t>Proline Biosynthesis</t>
  </si>
  <si>
    <t>2.7.2.11</t>
  </si>
  <si>
    <t>1 L glutamate + 1 ATP ==&gt; 1 gamma-L-glutamyl_5-phosphate + 1 ADP</t>
  </si>
  <si>
    <t>glutamate 5-kinase</t>
  </si>
  <si>
    <t>proB</t>
  </si>
  <si>
    <t>1.2.1.41</t>
  </si>
  <si>
    <r>
      <t>1 gamma-L-glutamyl_5-phosphate + 1 NADPH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==&gt; 1 L-glutamate-5-semialdehyde 1 NADP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+ 1 phosphate</t>
    </r>
  </si>
  <si>
    <t>glutamate-5-semialdehyde dehydrogenase</t>
  </si>
  <si>
    <t>proA</t>
  </si>
  <si>
    <r>
      <t>1 L-glutamate-5-semialdehyde &lt;==&gt; 1 S-1-pyrroline-5-carboxylate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</si>
  <si>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spontaneous</t>
  </si>
  <si>
    <t>1.5.1.2</t>
  </si>
  <si>
    <r>
      <t>1 S-1-pyrroline-5-carboxylate + 1 NADPH + 2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==&gt; 1 L-proline + 1 NADP</t>
    </r>
    <r>
      <rPr>
        <vertAlign val="superscript"/>
        <sz val="11"/>
        <color theme="1"/>
        <rFont val="Calibri"/>
        <family val="2"/>
        <scheme val="minor"/>
      </rPr>
      <t>+</t>
    </r>
  </si>
  <si>
    <t>pyrroline-5-carboxylate reductase</t>
  </si>
  <si>
    <t>proC</t>
  </si>
  <si>
    <t>Threonine Biosynthesis</t>
  </si>
  <si>
    <t>2.7.1.39</t>
  </si>
  <si>
    <r>
      <t>1 L-homoserine + 1 ATP ==&gt; 1 O-phospho-L-homoserine + 1 ADP + 1 H</t>
    </r>
    <r>
      <rPr>
        <vertAlign val="superscript"/>
        <sz val="11"/>
        <color theme="1"/>
        <rFont val="Calibri"/>
        <family val="2"/>
        <scheme val="minor"/>
      </rPr>
      <t>+</t>
    </r>
  </si>
  <si>
    <t>homoserine kinase</t>
  </si>
  <si>
    <t>thrB</t>
  </si>
  <si>
    <t>4.2.3.1</t>
  </si>
  <si>
    <r>
      <t>1 O-phospho-L-homoserine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==&gt; 1 L-threonine + 1 phosphate</t>
    </r>
  </si>
  <si>
    <t>threonine synthase</t>
  </si>
  <si>
    <t>thrC</t>
  </si>
  <si>
    <t>1.1.1.3</t>
  </si>
  <si>
    <t>1 L-aspartate + 1 ATP &lt;==&gt; 1 L-aspartyl-4-phosphate + 1 ADP</t>
  </si>
  <si>
    <t>fused aspartate kinase/homoserine dehydrogenase 1</t>
  </si>
  <si>
    <t>thrA</t>
  </si>
  <si>
    <r>
      <t>1 L-aspartate-semialdehyde + 1 NADPH + 1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==&gt; 1 L-homoserine + 1 NADP</t>
    </r>
    <r>
      <rPr>
        <vertAlign val="superscript"/>
        <sz val="11"/>
        <color theme="1"/>
        <rFont val="Calibri"/>
        <family val="2"/>
        <scheme val="minor"/>
      </rPr>
      <t>+</t>
    </r>
  </si>
  <si>
    <t>Serine Biosynthesis</t>
  </si>
  <si>
    <t>1.1.1.95</t>
  </si>
  <si>
    <t>2.6.1.52</t>
  </si>
  <si>
    <t>3.1.3.3</t>
  </si>
  <si>
    <t>phosphoglycerate dehydrogenase</t>
  </si>
  <si>
    <t>serA</t>
  </si>
  <si>
    <t>1 L-glutamate + 1 3-phospho-hydroxypyruvate &lt;==&gt; 1 3-phospho-L-serine + 1 2-oxoglutarate</t>
  </si>
  <si>
    <t>phosphoserine/phosphohydroxythreonine aminotransferase</t>
  </si>
  <si>
    <t>serC</t>
  </si>
  <si>
    <t>phosphoserine phosphatase</t>
  </si>
  <si>
    <t>serB</t>
  </si>
  <si>
    <r>
      <t>1 3-phospho-D-glycerate + 1 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&lt;==&gt; 1 3-phospho-hydroxypyruvate + 1 NADH + 1 H</t>
    </r>
    <r>
      <rPr>
        <vertAlign val="superscript"/>
        <sz val="11"/>
        <color theme="1"/>
        <rFont val="Calibri"/>
        <family val="2"/>
        <scheme val="minor"/>
      </rPr>
      <t>+</t>
    </r>
  </si>
  <si>
    <r>
      <t>1 3-phospho-L-serine + 1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==&gt; 1 L-serine + 1 phosphate</t>
    </r>
  </si>
  <si>
    <t>Pseudomonas aeruginosa</t>
  </si>
  <si>
    <t>tetramer or hexamer</t>
  </si>
  <si>
    <t>decamer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</si>
  <si>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wild-type, pH 7.5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</si>
  <si>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>, pH 8.2, 37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</si>
  <si>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r>
      <rPr>
        <i/>
        <sz val="11"/>
        <color theme="1"/>
        <rFont val="Calibri"/>
        <family val="2"/>
        <scheme val="minor"/>
      </rPr>
      <t>Bacillus</t>
    </r>
    <r>
      <rPr>
        <sz val="11"/>
        <color theme="1"/>
        <rFont val="Calibri"/>
        <family val="2"/>
        <scheme val="minor"/>
      </rPr>
      <t xml:space="preserve"> sp.</t>
    </r>
  </si>
  <si>
    <t>Hydrogenobacter thermophilus</t>
  </si>
  <si>
    <r>
      <rPr>
        <i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Hydrogenobacter thermophilus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Porphyromonas gingivalis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Mycobacterium tuberculosis</t>
    </r>
  </si>
  <si>
    <r>
      <rPr>
        <i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Porphyromonas gingivalis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Mycobacterium tuberculosis</t>
    </r>
  </si>
  <si>
    <t>Glycine max</t>
  </si>
  <si>
    <r>
      <rPr>
        <i/>
        <sz val="11"/>
        <color theme="1"/>
        <rFont val="Calibri"/>
        <family val="2"/>
        <scheme val="minor"/>
      </rPr>
      <t>Rhodospirillum rubrum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Saccharomyces cerevisiae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</si>
  <si>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>, phosphate substrate (gamma-glutamyl-phosphate is too labile for in vitro studies)</t>
    </r>
  </si>
  <si>
    <t>6.1.1.19</t>
  </si>
  <si>
    <r>
      <t>1 tRNA</t>
    </r>
    <r>
      <rPr>
        <vertAlign val="superscript"/>
        <sz val="11"/>
        <color theme="1"/>
        <rFont val="Calibri"/>
        <family val="2"/>
        <scheme val="minor"/>
      </rPr>
      <t>arg</t>
    </r>
    <r>
      <rPr>
        <sz val="11"/>
        <color theme="1"/>
        <rFont val="Calibri"/>
        <family val="2"/>
        <scheme val="minor"/>
      </rPr>
      <t xml:space="preserve"> + 1 L-arginine + 1 ATP ==&gt; 1 L-arginyl-[tRNA</t>
    </r>
    <r>
      <rPr>
        <vertAlign val="superscript"/>
        <sz val="11"/>
        <color theme="1"/>
        <rFont val="Calibri"/>
        <family val="2"/>
        <scheme val="minor"/>
      </rPr>
      <t>arg</t>
    </r>
    <r>
      <rPr>
        <sz val="11"/>
        <color theme="1"/>
        <rFont val="Calibri"/>
        <family val="2"/>
        <scheme val="minor"/>
      </rPr>
      <t>] + 1 AMP + 1 diphosphate</t>
    </r>
  </si>
  <si>
    <t>arginine-tRNA ligase</t>
  </si>
  <si>
    <t>argS</t>
  </si>
  <si>
    <t>6.1.1.6</t>
  </si>
  <si>
    <r>
      <t>1 L-lysine + 1 tRNA</t>
    </r>
    <r>
      <rPr>
        <vertAlign val="superscript"/>
        <sz val="11"/>
        <color theme="1"/>
        <rFont val="Calibri"/>
        <family val="2"/>
        <scheme val="minor"/>
      </rPr>
      <t>lys</t>
    </r>
    <r>
      <rPr>
        <sz val="11"/>
        <color theme="1"/>
        <rFont val="Calibri"/>
        <family val="2"/>
        <scheme val="minor"/>
      </rPr>
      <t xml:space="preserve"> + 1 ATP ==&gt; 1 L-lysyl-[tRNA</t>
    </r>
    <r>
      <rPr>
        <vertAlign val="superscript"/>
        <sz val="11"/>
        <color theme="1"/>
        <rFont val="Calibri"/>
        <family val="2"/>
        <scheme val="minor"/>
      </rPr>
      <t>lys</t>
    </r>
    <r>
      <rPr>
        <sz val="11"/>
        <color theme="1"/>
        <rFont val="Calibri"/>
        <family val="2"/>
        <scheme val="minor"/>
      </rPr>
      <t>] + 1 AMP + 1 diphosphate</t>
    </r>
  </si>
  <si>
    <t>lysine-tRNA ligase</t>
  </si>
  <si>
    <t>lysS</t>
  </si>
  <si>
    <t>6.1.1.15</t>
  </si>
  <si>
    <r>
      <t>1 tRNA</t>
    </r>
    <r>
      <rPr>
        <vertAlign val="superscript"/>
        <sz val="11"/>
        <color theme="1"/>
        <rFont val="Calibri"/>
        <family val="2"/>
        <scheme val="minor"/>
      </rPr>
      <t>pro</t>
    </r>
    <r>
      <rPr>
        <sz val="11"/>
        <color theme="1"/>
        <rFont val="Calibri"/>
        <family val="2"/>
        <scheme val="minor"/>
      </rPr>
      <t xml:space="preserve"> + 1 L-proline + 1 ATP ==&gt; 1 L-prolyl-[tRNA</t>
    </r>
    <r>
      <rPr>
        <vertAlign val="superscript"/>
        <sz val="11"/>
        <color theme="1"/>
        <rFont val="Calibri"/>
        <family val="2"/>
        <scheme val="minor"/>
      </rPr>
      <t>pro</t>
    </r>
    <r>
      <rPr>
        <sz val="11"/>
        <color theme="1"/>
        <rFont val="Calibri"/>
        <family val="2"/>
        <scheme val="minor"/>
      </rPr>
      <t>] + 1 AMP + 1 diphosphate</t>
    </r>
  </si>
  <si>
    <t>proline-tRNA ligase</t>
  </si>
  <si>
    <t>proS</t>
  </si>
  <si>
    <t>6.1.1.11</t>
  </si>
  <si>
    <r>
      <t>1 tRNA</t>
    </r>
    <r>
      <rPr>
        <vertAlign val="superscript"/>
        <sz val="11"/>
        <color theme="1"/>
        <rFont val="Calibri"/>
        <family val="2"/>
        <scheme val="minor"/>
      </rPr>
      <t>ser</t>
    </r>
    <r>
      <rPr>
        <sz val="11"/>
        <color theme="1"/>
        <rFont val="Calibri"/>
        <family val="2"/>
        <scheme val="minor"/>
      </rPr>
      <t xml:space="preserve"> + 1 L-serine + 1 ATP ==&gt; 1 L-seryl-[tRNA</t>
    </r>
    <r>
      <rPr>
        <vertAlign val="superscript"/>
        <sz val="11"/>
        <color theme="1"/>
        <rFont val="Calibri"/>
        <family val="2"/>
        <scheme val="minor"/>
      </rPr>
      <t>ser</t>
    </r>
    <r>
      <rPr>
        <sz val="11"/>
        <color theme="1"/>
        <rFont val="Calibri"/>
        <family val="2"/>
        <scheme val="minor"/>
      </rPr>
      <t>] + 1 AMP + 1 diphosphate</t>
    </r>
  </si>
  <si>
    <t>serine-tRNA ligase</t>
  </si>
  <si>
    <t>serS</t>
  </si>
  <si>
    <t>6.1.1.3</t>
  </si>
  <si>
    <t>threonine-tRNA ligase</t>
  </si>
  <si>
    <t>thrS</t>
  </si>
  <si>
    <r>
      <t>Escherichia coli</t>
    </r>
    <r>
      <rPr>
        <sz val="11"/>
        <color theme="1"/>
        <rFont val="Calibri"/>
        <family val="2"/>
        <scheme val="minor"/>
      </rPr>
      <t>, arginine substrate; aminoacylation, native enzyme; pH 7.4, 37</t>
    </r>
    <r>
      <rPr>
        <sz val="11"/>
        <color theme="1"/>
        <rFont val="Calibri"/>
        <family val="2"/>
      </rPr>
      <t>°C</t>
    </r>
  </si>
  <si>
    <r>
      <t>Escherichia coli</t>
    </r>
    <r>
      <rPr>
        <sz val="11"/>
        <color theme="1"/>
        <rFont val="Calibri"/>
        <family val="2"/>
        <scheme val="minor"/>
      </rPr>
      <t>, lysine substrate; aminoacylation; pH 7.2, 37</t>
    </r>
    <r>
      <rPr>
        <sz val="11"/>
        <color theme="1"/>
        <rFont val="Calibri"/>
        <family val="2"/>
      </rPr>
      <t>°C</t>
    </r>
  </si>
  <si>
    <r>
      <t>Escherichia coli</t>
    </r>
    <r>
      <rPr>
        <sz val="11"/>
        <color theme="1"/>
        <rFont val="Calibri"/>
        <family val="2"/>
        <scheme val="minor"/>
      </rPr>
      <t>, proline substrate; aminoacylation; wild-type enzymes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</si>
  <si>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>, serine substrate; aminoacylation; pH 8.8, wild-type enzyme</t>
    </r>
  </si>
  <si>
    <r>
      <t>Escherichia coli</t>
    </r>
    <r>
      <rPr>
        <sz val="11"/>
        <color theme="1"/>
        <rFont val="Calibri"/>
        <family val="2"/>
        <scheme val="minor"/>
      </rPr>
      <t>, threonine substrate; aminoacylation; pH 7.2/7.5, 37</t>
    </r>
    <r>
      <rPr>
        <sz val="11"/>
        <color theme="1"/>
        <rFont val="Calibri"/>
        <family val="2"/>
      </rPr>
      <t>°C, wild-type enzyme</t>
    </r>
  </si>
  <si>
    <r>
      <t>1 tRNA</t>
    </r>
    <r>
      <rPr>
        <vertAlign val="superscript"/>
        <sz val="11"/>
        <color theme="1"/>
        <rFont val="Calibri"/>
        <family val="2"/>
        <scheme val="minor"/>
      </rPr>
      <t>thr</t>
    </r>
    <r>
      <rPr>
        <sz val="11"/>
        <color theme="1"/>
        <rFont val="Calibri"/>
        <family val="2"/>
        <scheme val="minor"/>
      </rPr>
      <t xml:space="preserve"> + 1 L-threonine + 1 ATP ==&gt; 1 L-threonyl-[tRNA</t>
    </r>
    <r>
      <rPr>
        <vertAlign val="superscript"/>
        <sz val="11"/>
        <color theme="1"/>
        <rFont val="Calibri"/>
        <family val="2"/>
        <scheme val="minor"/>
      </rPr>
      <t>thr</t>
    </r>
    <r>
      <rPr>
        <sz val="11"/>
        <color theme="1"/>
        <rFont val="Calibri"/>
        <family val="2"/>
        <scheme val="minor"/>
      </rPr>
      <t>] + 1 AMP + 1 diphosphate</t>
    </r>
  </si>
  <si>
    <t>a</t>
  </si>
  <si>
    <t>b</t>
  </si>
  <si>
    <t>r = beta*q*S/Ks</t>
  </si>
  <si>
    <t>Proline</t>
  </si>
  <si>
    <t>Serine</t>
  </si>
  <si>
    <t>Threonine</t>
  </si>
  <si>
    <t xml:space="preserve">Ratios: R = C(2r)/2C( r) </t>
  </si>
  <si>
    <t>C( r)</t>
  </si>
  <si>
    <t>Arginine</t>
  </si>
  <si>
    <t>Lysine</t>
  </si>
  <si>
    <t>Cost</t>
  </si>
  <si>
    <t>C(2r)</t>
  </si>
  <si>
    <t>2C( r)</t>
  </si>
  <si>
    <t>Ratio C(2r)/2C( r)</t>
  </si>
  <si>
    <t>C(2.5r)</t>
  </si>
  <si>
    <t>2.5C( r)</t>
  </si>
  <si>
    <t>m=2</t>
  </si>
  <si>
    <t>m=2.5</t>
  </si>
  <si>
    <t>Maximum a = k/r</t>
  </si>
  <si>
    <t>C( r)=k</t>
  </si>
  <si>
    <t>b = (k-ar)/2sqrt( r)</t>
  </si>
  <si>
    <t>R</t>
  </si>
  <si>
    <t>Cost Scaling</t>
  </si>
  <si>
    <t>Cmax (2,2)</t>
  </si>
  <si>
    <t>PS</t>
  </si>
  <si>
    <t>(1,1) scaled</t>
  </si>
  <si>
    <t>(2,0) Scaled</t>
  </si>
  <si>
    <t>(0,2) Scaled</t>
  </si>
  <si>
    <t>(0,0) scaled</t>
  </si>
  <si>
    <t>PS extreme</t>
  </si>
  <si>
    <t>ai Carbon Atoms (Enzyme)</t>
  </si>
  <si>
    <t>bi Carbon Atoms (Substrate)</t>
  </si>
  <si>
    <t xml:space="preserve">Cost parameters computed as: </t>
  </si>
  <si>
    <t>η = ∑ (𝛽ai/Kcat)</t>
  </si>
  <si>
    <t>ζ = 2∑√(𝛽 Km ai bi/Kcat)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</si>
</sst>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0" fillId="0" borderId="3" xfId="0" applyBorder="1"/>
    <xf numFmtId="0" fontId="1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3" borderId="0" xfId="0" applyFill="1"/>
    <xf numFmtId="0" fontId="0" fillId="3" borderId="3" xfId="0" applyFill="1" applyBorder="1"/>
    <xf numFmtId="0" fontId="5" fillId="3" borderId="3" xfId="1" applyFill="1" applyBorder="1"/>
    <xf numFmtId="0" fontId="6" fillId="3" borderId="0" xfId="0" applyFont="1" applyFill="1"/>
    <xf numFmtId="2" fontId="0" fillId="3" borderId="3" xfId="0" applyNumberFormat="1" applyFill="1" applyBorder="1"/>
    <xf numFmtId="1" fontId="0" fillId="3" borderId="3" xfId="0" applyNumberFormat="1" applyFill="1" applyBorder="1"/>
    <xf numFmtId="1" fontId="6" fillId="3" borderId="0" xfId="0" applyNumberFormat="1" applyFont="1" applyFill="1"/>
    <xf numFmtId="0" fontId="6" fillId="3" borderId="0" xfId="0" applyFont="1" applyFill="1" applyAlignment="1"/>
    <xf numFmtId="0" fontId="0" fillId="3" borderId="0" xfId="0" applyFont="1" applyFill="1"/>
    <xf numFmtId="0" fontId="0" fillId="3" borderId="0" xfId="0" applyFill="1" applyBorder="1"/>
    <xf numFmtId="0" fontId="0" fillId="0" borderId="0" xfId="0" applyFill="1"/>
    <xf numFmtId="0" fontId="0" fillId="0" borderId="3" xfId="0" applyFill="1" applyBorder="1"/>
    <xf numFmtId="0" fontId="5" fillId="0" borderId="3" xfId="1" applyFill="1" applyBorder="1"/>
    <xf numFmtId="0" fontId="6" fillId="0" borderId="0" xfId="0" applyFont="1" applyFill="1"/>
    <xf numFmtId="0" fontId="1" fillId="2" borderId="0" xfId="0" applyFont="1" applyFill="1" applyBorder="1"/>
    <xf numFmtId="0" fontId="0" fillId="3" borderId="0" xfId="0" applyFont="1" applyFill="1" applyBorder="1"/>
    <xf numFmtId="0" fontId="0" fillId="4" borderId="0" xfId="0" applyFill="1"/>
    <xf numFmtId="0" fontId="0" fillId="4" borderId="3" xfId="0" applyFill="1" applyBorder="1"/>
    <xf numFmtId="0" fontId="0" fillId="0" borderId="0" xfId="0" applyBorder="1"/>
    <xf numFmtId="164" fontId="0" fillId="3" borderId="3" xfId="0" applyNumberFormat="1" applyFill="1" applyBorder="1"/>
    <xf numFmtId="0" fontId="0" fillId="5" borderId="0" xfId="0" applyFill="1"/>
    <xf numFmtId="0" fontId="0" fillId="5" borderId="3" xfId="0" applyFill="1" applyBorder="1"/>
    <xf numFmtId="0" fontId="9" fillId="5" borderId="3" xfId="1" applyFont="1" applyFill="1" applyBorder="1"/>
    <xf numFmtId="0" fontId="6" fillId="5" borderId="0" xfId="0" applyFont="1" applyFill="1"/>
    <xf numFmtId="164" fontId="0" fillId="5" borderId="3" xfId="0" applyNumberFormat="1" applyFill="1" applyBorder="1"/>
    <xf numFmtId="2" fontId="0" fillId="5" borderId="3" xfId="0" applyNumberFormat="1" applyFill="1" applyBorder="1"/>
    <xf numFmtId="0" fontId="0" fillId="5" borderId="0" xfId="0" applyFill="1" applyBorder="1"/>
    <xf numFmtId="1" fontId="0" fillId="5" borderId="3" xfId="0" applyNumberFormat="1" applyFill="1" applyBorder="1"/>
    <xf numFmtId="164" fontId="0" fillId="5" borderId="0" xfId="0" applyNumberFormat="1" applyFill="1" applyBorder="1"/>
    <xf numFmtId="0" fontId="0" fillId="5" borderId="4" xfId="0" applyFill="1" applyBorder="1"/>
    <xf numFmtId="0" fontId="9" fillId="5" borderId="4" xfId="1" applyFont="1" applyFill="1" applyBorder="1"/>
    <xf numFmtId="0" fontId="6" fillId="5" borderId="5" xfId="0" applyFont="1" applyFill="1" applyBorder="1"/>
    <xf numFmtId="165" fontId="0" fillId="5" borderId="3" xfId="0" applyNumberFormat="1" applyFill="1" applyBorder="1"/>
    <xf numFmtId="166" fontId="0" fillId="5" borderId="3" xfId="0" applyNumberFormat="1" applyFill="1" applyBorder="1"/>
    <xf numFmtId="2" fontId="0" fillId="5" borderId="0" xfId="0" applyNumberFormat="1" applyFill="1" applyBorder="1"/>
    <xf numFmtId="0" fontId="6" fillId="5" borderId="0" xfId="0" applyFont="1" applyFill="1" applyBorder="1"/>
    <xf numFmtId="0" fontId="1" fillId="0" borderId="6" xfId="0" applyFont="1" applyBorder="1"/>
    <xf numFmtId="0" fontId="0" fillId="0" borderId="4" xfId="0" applyBorder="1"/>
    <xf numFmtId="1" fontId="6" fillId="3" borderId="4" xfId="0" applyNumberFormat="1" applyFont="1" applyFill="1" applyBorder="1"/>
    <xf numFmtId="0" fontId="6" fillId="5" borderId="4" xfId="0" applyFont="1" applyFill="1" applyBorder="1"/>
    <xf numFmtId="0" fontId="6" fillId="0" borderId="4" xfId="0" applyFont="1" applyFill="1" applyBorder="1"/>
    <xf numFmtId="0" fontId="0" fillId="0" borderId="4" xfId="0" applyFill="1" applyBorder="1"/>
    <xf numFmtId="1" fontId="6" fillId="5" borderId="4" xfId="0" applyNumberFormat="1" applyFont="1" applyFill="1" applyBorder="1"/>
    <xf numFmtId="1" fontId="1" fillId="2" borderId="4" xfId="0" applyNumberFormat="1" applyFont="1" applyFill="1" applyBorder="1"/>
    <xf numFmtId="1" fontId="1" fillId="2" borderId="0" xfId="0" applyNumberFormat="1" applyFont="1" applyFill="1"/>
    <xf numFmtId="1" fontId="0" fillId="3" borderId="0" xfId="0" applyNumberFormat="1" applyFill="1"/>
    <xf numFmtId="1" fontId="0" fillId="0" borderId="0" xfId="0" applyNumberFormat="1"/>
    <xf numFmtId="11" fontId="0" fillId="0" borderId="0" xfId="0" applyNumberFormat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ecocyc.org/gene?orgid=ECOLI&amp;id=EG10069" TargetMode="External"/><Relationship Id="rId20" Type="http://schemas.openxmlformats.org/officeDocument/2006/relationships/hyperlink" Target="https://ecocyc.org/gene?orgid=ECOLI&amp;id=EG10549" TargetMode="External"/><Relationship Id="rId21" Type="http://schemas.openxmlformats.org/officeDocument/2006/relationships/hyperlink" Target="https://ecocyc.org/gene?orgid=ECOLI&amp;id=EG10945" TargetMode="External"/><Relationship Id="rId22" Type="http://schemas.openxmlformats.org/officeDocument/2006/relationships/hyperlink" Target="https://ecocyc.org/gene?orgid=ECOLI&amp;id=EG10946" TargetMode="External"/><Relationship Id="rId23" Type="http://schemas.openxmlformats.org/officeDocument/2006/relationships/hyperlink" Target="https://ecocyc.org/gene?orgid=ECOLI&amp;id=EG10944" TargetMode="External"/><Relationship Id="rId24" Type="http://schemas.openxmlformats.org/officeDocument/2006/relationships/hyperlink" Target="https://ecocyc.org/gene?orgid=ECOLI&amp;id=EG10768" TargetMode="External"/><Relationship Id="rId25" Type="http://schemas.openxmlformats.org/officeDocument/2006/relationships/hyperlink" Target="https://ecocyc.org/gene?orgid=ECOLI&amp;id=EG10767" TargetMode="External"/><Relationship Id="rId26" Type="http://schemas.openxmlformats.org/officeDocument/2006/relationships/hyperlink" Target="https://ecocyc.org/gene?orgid=ECOLI&amp;id=EG10769" TargetMode="External"/><Relationship Id="rId27" Type="http://schemas.openxmlformats.org/officeDocument/2006/relationships/hyperlink" Target="https://ecocyc.org/gene?orgid=ECOLI&amp;id=EG10999" TargetMode="External"/><Relationship Id="rId28" Type="http://schemas.openxmlformats.org/officeDocument/2006/relationships/hyperlink" Target="https://ecocyc.org/gene?orgid=ECOLI&amp;id=EG11000" TargetMode="External"/><Relationship Id="rId29" Type="http://schemas.openxmlformats.org/officeDocument/2006/relationships/hyperlink" Target="https://ecocyc.org/gene?orgid=ECOLI&amp;id=EG10088" TargetMode="External"/><Relationship Id="rId30" Type="http://schemas.openxmlformats.org/officeDocument/2006/relationships/hyperlink" Target="https://ecocyc.org/gene?orgid=ECOLI&amp;id=EG10550" TargetMode="External"/><Relationship Id="rId31" Type="http://schemas.openxmlformats.org/officeDocument/2006/relationships/hyperlink" Target="https://ecocyc.org/gene?orgid=ECOLI&amp;id=EG10998" TargetMode="External"/><Relationship Id="rId32" Type="http://schemas.openxmlformats.org/officeDocument/2006/relationships/printerSettings" Target="../printerSettings/printerSettings1.bin"/><Relationship Id="rId10" Type="http://schemas.openxmlformats.org/officeDocument/2006/relationships/hyperlink" Target="https://ecocyc.org/gene?orgid=ECOLI&amp;id=EG10068" TargetMode="External"/><Relationship Id="rId11" Type="http://schemas.openxmlformats.org/officeDocument/2006/relationships/hyperlink" Target="https://ecocyc.org/gene?orgid=ECOLI&amp;id=EG11223" TargetMode="External"/><Relationship Id="rId12" Type="http://schemas.openxmlformats.org/officeDocument/2006/relationships/hyperlink" Target="https://ecocyc.org/gene?orgid=ECOLI&amp;id=EG10550" TargetMode="External"/><Relationship Id="rId13" Type="http://schemas.openxmlformats.org/officeDocument/2006/relationships/hyperlink" Target="https://ecocyc.org/gene?orgid=ECOLI&amp;id=EG10088" TargetMode="External"/><Relationship Id="rId14" Type="http://schemas.openxmlformats.org/officeDocument/2006/relationships/hyperlink" Target="https://ecocyc.org/gene?orgid=ECOLI&amp;id=EG10205" TargetMode="External"/><Relationship Id="rId15" Type="http://schemas.openxmlformats.org/officeDocument/2006/relationships/hyperlink" Target="https://ecocyc.org/gene?orgid=ECOLI&amp;id=EG10206" TargetMode="External"/><Relationship Id="rId16" Type="http://schemas.openxmlformats.org/officeDocument/2006/relationships/hyperlink" Target="https://ecocyc.org/gene?orgid=ECOLI&amp;id=EG10207" TargetMode="External"/><Relationship Id="rId17" Type="http://schemas.openxmlformats.org/officeDocument/2006/relationships/hyperlink" Target="https://ecocyc.org/gene?orgid=ECOLI&amp;id=EG10066" TargetMode="External"/><Relationship Id="rId18" Type="http://schemas.openxmlformats.org/officeDocument/2006/relationships/hyperlink" Target="https://ecocyc.org/gene?orgid=ECOLI&amp;id=EG10208" TargetMode="External"/><Relationship Id="rId19" Type="http://schemas.openxmlformats.org/officeDocument/2006/relationships/hyperlink" Target="https://ecocyc.org/gene?orgid=ECOLI&amp;id=EG10209" TargetMode="External"/><Relationship Id="rId1" Type="http://schemas.openxmlformats.org/officeDocument/2006/relationships/hyperlink" Target="https://ecocyc.org/gene?orgid=ECOLI&amp;id=EG10063" TargetMode="External"/><Relationship Id="rId2" Type="http://schemas.openxmlformats.org/officeDocument/2006/relationships/hyperlink" Target="https://ecocyc.org/gene?orgid=ECOLI&amp;id=EG10064" TargetMode="External"/><Relationship Id="rId3" Type="http://schemas.openxmlformats.org/officeDocument/2006/relationships/hyperlink" Target="https://ecocyc.org/gene?orgid=ECOLI&amp;id=EG10065" TargetMode="External"/><Relationship Id="rId4" Type="http://schemas.openxmlformats.org/officeDocument/2006/relationships/hyperlink" Target="https://ecocyc.org/gene?orgid=ECOLI&amp;id=EG10066" TargetMode="External"/><Relationship Id="rId5" Type="http://schemas.openxmlformats.org/officeDocument/2006/relationships/hyperlink" Target="https://ecocyc.org/gene?orgid=ECOLI&amp;id=EG11286" TargetMode="External"/><Relationship Id="rId6" Type="http://schemas.openxmlformats.org/officeDocument/2006/relationships/hyperlink" Target="https://ecocyc.org/gene?orgid=ECOLI&amp;id=EG10135" TargetMode="External"/><Relationship Id="rId7" Type="http://schemas.openxmlformats.org/officeDocument/2006/relationships/hyperlink" Target="https://ecocyc.org/gene?orgid=ECOLI&amp;id=EG10134" TargetMode="External"/><Relationship Id="rId8" Type="http://schemas.openxmlformats.org/officeDocument/2006/relationships/hyperlink" Target="https://ecocyc.org/gene?orgid=ECOLI&amp;id=EG1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zoomScale="79" zoomScaleNormal="79" zoomScalePageLayoutView="79" workbookViewId="0">
      <pane ySplit="1" topLeftCell="A22" activePane="bottomLeft" state="frozen"/>
      <selection activeCell="B1" sqref="B1"/>
      <selection pane="bottomLeft" activeCell="B54" sqref="B54"/>
    </sheetView>
  </sheetViews>
  <sheetFormatPr baseColWidth="10" defaultColWidth="8.83203125" defaultRowHeight="15" x14ac:dyDescent="0.2"/>
  <cols>
    <col min="2" max="2" width="69.83203125" customWidth="1"/>
    <col min="3" max="3" width="26.83203125" customWidth="1"/>
    <col min="5" max="5" width="22.5" customWidth="1"/>
    <col min="6" max="6" width="24.1640625" customWidth="1"/>
    <col min="8" max="8" width="9.1640625" customWidth="1"/>
    <col min="10" max="10" width="9.33203125" customWidth="1"/>
    <col min="11" max="11" width="13.83203125" style="45" customWidth="1"/>
    <col min="12" max="12" width="19.6640625" customWidth="1"/>
  </cols>
  <sheetData>
    <row r="1" spans="1:17" ht="18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222</v>
      </c>
      <c r="F1" s="2" t="s">
        <v>223</v>
      </c>
      <c r="G1" s="2" t="s">
        <v>4</v>
      </c>
      <c r="H1" s="1" t="s">
        <v>5</v>
      </c>
      <c r="I1" s="2" t="s">
        <v>6</v>
      </c>
      <c r="J1" s="1" t="s">
        <v>5</v>
      </c>
      <c r="K1" s="44" t="s">
        <v>225</v>
      </c>
      <c r="L1" s="1" t="s">
        <v>226</v>
      </c>
      <c r="M1" s="2" t="s">
        <v>7</v>
      </c>
      <c r="N1" s="3" t="s">
        <v>5</v>
      </c>
      <c r="Q1" s="56"/>
    </row>
    <row r="2" spans="1:17" ht="16" thickTop="1" x14ac:dyDescent="0.2">
      <c r="B2" s="4"/>
      <c r="C2" s="4"/>
      <c r="D2" s="4"/>
      <c r="E2" s="4"/>
      <c r="F2" s="4"/>
      <c r="G2" s="4"/>
      <c r="I2" s="4"/>
      <c r="M2" s="4"/>
    </row>
    <row r="3" spans="1:17" x14ac:dyDescent="0.2">
      <c r="A3" s="5" t="s">
        <v>11</v>
      </c>
      <c r="B3" s="6"/>
      <c r="C3" s="6"/>
      <c r="D3" s="6"/>
      <c r="E3" s="6"/>
      <c r="F3" s="6"/>
      <c r="G3" s="6"/>
      <c r="H3" s="7"/>
      <c r="I3" s="6"/>
      <c r="J3" s="7"/>
      <c r="K3" s="51">
        <f>SUM(K4:K14)*1000</f>
        <v>19140588.361916322</v>
      </c>
      <c r="L3" s="52">
        <f>SUM(L4:L14)*2*SQRT(1000)</f>
        <v>111546.39741479499</v>
      </c>
      <c r="M3" s="6"/>
      <c r="N3" s="7"/>
    </row>
    <row r="4" spans="1:17" ht="17" x14ac:dyDescent="0.2">
      <c r="A4" s="8" t="s">
        <v>12</v>
      </c>
      <c r="B4" s="9" t="s">
        <v>13</v>
      </c>
      <c r="C4" s="9" t="s">
        <v>14</v>
      </c>
      <c r="D4" s="10" t="s">
        <v>15</v>
      </c>
      <c r="E4" s="9">
        <v>2161</v>
      </c>
      <c r="F4" s="9">
        <v>7</v>
      </c>
      <c r="G4" s="9">
        <v>0.22</v>
      </c>
      <c r="H4" s="11" t="s">
        <v>16</v>
      </c>
      <c r="I4" s="13">
        <f>AVERAGE(5,5.2,85)</f>
        <v>31.733333333333334</v>
      </c>
      <c r="J4" s="14" t="s">
        <v>17</v>
      </c>
      <c r="K4" s="46">
        <f>E4/G4</f>
        <v>9822.7272727272721</v>
      </c>
      <c r="L4" s="14">
        <f>SQRT(F4*I4*K4)</f>
        <v>1477.1442554859534</v>
      </c>
      <c r="M4" s="9" t="s">
        <v>8</v>
      </c>
      <c r="N4" s="11" t="s">
        <v>9</v>
      </c>
    </row>
    <row r="5" spans="1:17" x14ac:dyDescent="0.2">
      <c r="A5" s="8" t="s">
        <v>18</v>
      </c>
      <c r="B5" s="9" t="s">
        <v>19</v>
      </c>
      <c r="C5" s="9" t="s">
        <v>20</v>
      </c>
      <c r="D5" s="10" t="s">
        <v>21</v>
      </c>
      <c r="E5" s="9">
        <v>1201</v>
      </c>
      <c r="F5" s="9">
        <v>7</v>
      </c>
      <c r="G5" s="27">
        <f>AVERAGE(31.4,45.1)</f>
        <v>38.25</v>
      </c>
      <c r="H5" s="8" t="s">
        <v>22</v>
      </c>
      <c r="I5" s="27">
        <f>AVERAGE(0.2,1.3)</f>
        <v>0.75</v>
      </c>
      <c r="J5" s="8" t="s">
        <v>23</v>
      </c>
      <c r="K5" s="46">
        <f t="shared" ref="K5:K14" si="0">E5/G5</f>
        <v>31.398692810457515</v>
      </c>
      <c r="L5" s="14">
        <f t="shared" ref="L5:L14" si="1">SQRT(F5*I5*K5)</f>
        <v>12.83912525271492</v>
      </c>
      <c r="M5" s="9" t="s">
        <v>10</v>
      </c>
      <c r="N5" s="11" t="s">
        <v>9</v>
      </c>
    </row>
    <row r="6" spans="1:17" ht="17" x14ac:dyDescent="0.2">
      <c r="A6" s="8" t="s">
        <v>24</v>
      </c>
      <c r="B6" s="9" t="s">
        <v>25</v>
      </c>
      <c r="C6" s="9" t="s">
        <v>26</v>
      </c>
      <c r="D6" s="10" t="s">
        <v>27</v>
      </c>
      <c r="E6" s="9">
        <v>1624</v>
      </c>
      <c r="F6" s="9">
        <v>7</v>
      </c>
      <c r="G6" s="9">
        <v>1</v>
      </c>
      <c r="H6" s="8" t="s">
        <v>28</v>
      </c>
      <c r="I6" s="9">
        <v>0.6</v>
      </c>
      <c r="J6" s="8" t="s">
        <v>29</v>
      </c>
      <c r="K6" s="46">
        <f t="shared" si="0"/>
        <v>1624</v>
      </c>
      <c r="L6" s="14">
        <f t="shared" si="1"/>
        <v>82.588134741014713</v>
      </c>
      <c r="M6" s="9" t="s">
        <v>10</v>
      </c>
      <c r="N6" s="8" t="s">
        <v>30</v>
      </c>
    </row>
    <row r="7" spans="1:17" x14ac:dyDescent="0.2">
      <c r="A7" s="8" t="s">
        <v>31</v>
      </c>
      <c r="B7" s="9" t="s">
        <v>32</v>
      </c>
      <c r="C7" s="9" t="s">
        <v>36</v>
      </c>
      <c r="D7" s="10" t="s">
        <v>37</v>
      </c>
      <c r="E7" s="9">
        <v>1964</v>
      </c>
      <c r="F7" s="9">
        <v>7</v>
      </c>
      <c r="G7" s="9">
        <v>1.55</v>
      </c>
      <c r="H7" s="8" t="s">
        <v>33</v>
      </c>
      <c r="I7" s="9">
        <v>0.48</v>
      </c>
      <c r="J7" s="8" t="s">
        <v>34</v>
      </c>
      <c r="K7" s="46">
        <f t="shared" si="0"/>
        <v>1267.0967741935483</v>
      </c>
      <c r="L7" s="14">
        <f t="shared" si="1"/>
        <v>65.249100846604179</v>
      </c>
      <c r="M7" s="9" t="s">
        <v>10</v>
      </c>
      <c r="N7" s="8" t="s">
        <v>35</v>
      </c>
    </row>
    <row r="8" spans="1:17" ht="17" x14ac:dyDescent="0.25">
      <c r="A8" s="8" t="s">
        <v>38</v>
      </c>
      <c r="B8" s="9" t="s">
        <v>39</v>
      </c>
      <c r="C8" s="9" t="s">
        <v>40</v>
      </c>
      <c r="D8" s="10" t="s">
        <v>41</v>
      </c>
      <c r="E8" s="9">
        <v>1894</v>
      </c>
      <c r="F8" s="9">
        <v>7</v>
      </c>
      <c r="G8" s="13">
        <f>AVERAGE(1600,3800,550,1600,3800,1600,3800)</f>
        <v>2392.8571428571427</v>
      </c>
      <c r="H8" s="11" t="s">
        <v>9</v>
      </c>
      <c r="I8" s="9">
        <v>1.56</v>
      </c>
      <c r="J8" s="11" t="s">
        <v>9</v>
      </c>
      <c r="K8" s="46">
        <f t="shared" si="0"/>
        <v>0.79152238805970154</v>
      </c>
      <c r="L8" s="14">
        <f t="shared" si="1"/>
        <v>2.9399701491021877</v>
      </c>
      <c r="M8" s="9" t="s">
        <v>10</v>
      </c>
      <c r="N8" s="11" t="s">
        <v>9</v>
      </c>
    </row>
    <row r="9" spans="1:17" ht="18" x14ac:dyDescent="0.25">
      <c r="A9" s="8" t="s">
        <v>42</v>
      </c>
      <c r="B9" s="9" t="s">
        <v>43</v>
      </c>
      <c r="C9" s="9" t="s">
        <v>44</v>
      </c>
      <c r="D9" s="10" t="s">
        <v>45</v>
      </c>
      <c r="E9" s="9">
        <v>5190</v>
      </c>
      <c r="F9" s="9">
        <v>1</v>
      </c>
      <c r="G9" s="27">
        <f>AVERAGE(1.4,2.2,2.13)</f>
        <v>1.9100000000000001</v>
      </c>
      <c r="H9" s="8" t="s">
        <v>46</v>
      </c>
      <c r="I9" s="12">
        <f>AVERAGE(0.12,0.11,0.15,0.12,0.13)</f>
        <v>0.126</v>
      </c>
      <c r="J9" s="15" t="s">
        <v>47</v>
      </c>
      <c r="K9" s="46">
        <f>(E9+E10)/G9</f>
        <v>3680.1047120418843</v>
      </c>
      <c r="L9" s="14">
        <f t="shared" si="1"/>
        <v>21.533536488864932</v>
      </c>
      <c r="M9" s="9" t="s">
        <v>10</v>
      </c>
      <c r="N9" s="11" t="s">
        <v>9</v>
      </c>
    </row>
    <row r="10" spans="1:17" x14ac:dyDescent="0.2">
      <c r="A10" s="8"/>
      <c r="B10" s="9"/>
      <c r="C10" s="9" t="s">
        <v>48</v>
      </c>
      <c r="D10" s="10" t="s">
        <v>49</v>
      </c>
      <c r="E10" s="9">
        <v>1839</v>
      </c>
      <c r="F10" s="9"/>
      <c r="G10" s="9"/>
      <c r="H10" s="8"/>
      <c r="I10" s="9"/>
      <c r="J10" s="8"/>
      <c r="K10" s="46"/>
      <c r="L10" s="14"/>
      <c r="M10" s="9"/>
      <c r="N10" s="8"/>
    </row>
    <row r="11" spans="1:17" ht="17" x14ac:dyDescent="0.2">
      <c r="A11" s="8" t="s">
        <v>50</v>
      </c>
      <c r="B11" s="9" t="s">
        <v>51</v>
      </c>
      <c r="C11" s="9" t="s">
        <v>52</v>
      </c>
      <c r="D11" s="10" t="s">
        <v>53</v>
      </c>
      <c r="E11" s="9">
        <v>1630</v>
      </c>
      <c r="F11" s="9">
        <v>6</v>
      </c>
      <c r="G11" s="9">
        <v>49</v>
      </c>
      <c r="H11" s="11" t="s">
        <v>54</v>
      </c>
      <c r="I11" s="9">
        <v>0.85</v>
      </c>
      <c r="J11" s="8" t="s">
        <v>55</v>
      </c>
      <c r="K11" s="46">
        <f>(E11+E12)/G11</f>
        <v>66.632653061224488</v>
      </c>
      <c r="L11" s="14">
        <f t="shared" si="1"/>
        <v>18.434384465238999</v>
      </c>
      <c r="M11" s="9" t="s">
        <v>56</v>
      </c>
      <c r="N11" s="11" t="s">
        <v>9</v>
      </c>
    </row>
    <row r="12" spans="1:17" x14ac:dyDescent="0.2">
      <c r="A12" s="8"/>
      <c r="B12" s="9"/>
      <c r="C12" s="9" t="s">
        <v>52</v>
      </c>
      <c r="D12" s="10" t="s">
        <v>57</v>
      </c>
      <c r="E12" s="9">
        <v>1635</v>
      </c>
      <c r="F12" s="9"/>
      <c r="G12" s="9"/>
      <c r="H12" s="8"/>
      <c r="I12" s="9"/>
      <c r="J12" s="8"/>
      <c r="K12" s="46"/>
      <c r="L12" s="14"/>
      <c r="M12" s="9"/>
      <c r="N12" s="8"/>
    </row>
    <row r="13" spans="1:17" ht="17" x14ac:dyDescent="0.2">
      <c r="A13" s="8" t="s">
        <v>58</v>
      </c>
      <c r="B13" s="9" t="s">
        <v>59</v>
      </c>
      <c r="C13" s="9" t="s">
        <v>60</v>
      </c>
      <c r="D13" s="10" t="s">
        <v>61</v>
      </c>
      <c r="E13" s="9">
        <v>2196</v>
      </c>
      <c r="F13" s="9">
        <v>10</v>
      </c>
      <c r="G13" s="9">
        <v>1</v>
      </c>
      <c r="H13" s="8" t="s">
        <v>28</v>
      </c>
      <c r="I13" s="12">
        <f>AVERAGE(0.02,0.02,0.024,0.042,0.044,0.044,0.056,0.18,0.29,0.36)</f>
        <v>0.10800000000000001</v>
      </c>
      <c r="J13" s="8" t="s">
        <v>62</v>
      </c>
      <c r="K13" s="46">
        <f t="shared" si="0"/>
        <v>2196</v>
      </c>
      <c r="L13" s="14">
        <f t="shared" si="1"/>
        <v>48.699897330487261</v>
      </c>
      <c r="M13" s="9" t="s">
        <v>63</v>
      </c>
      <c r="N13" s="11" t="s">
        <v>9</v>
      </c>
    </row>
    <row r="14" spans="1:17" x14ac:dyDescent="0.2">
      <c r="A14" s="8" t="s">
        <v>64</v>
      </c>
      <c r="B14" s="9" t="s">
        <v>65</v>
      </c>
      <c r="C14" s="9" t="s">
        <v>66</v>
      </c>
      <c r="D14" s="10" t="s">
        <v>67</v>
      </c>
      <c r="E14" s="9">
        <v>2214</v>
      </c>
      <c r="F14" s="9">
        <v>10</v>
      </c>
      <c r="G14" s="9">
        <v>4.9000000000000004</v>
      </c>
      <c r="H14" s="8" t="s">
        <v>68</v>
      </c>
      <c r="I14" s="9">
        <v>0.26</v>
      </c>
      <c r="J14" s="11" t="s">
        <v>69</v>
      </c>
      <c r="K14" s="46">
        <f t="shared" si="0"/>
        <v>451.83673469387753</v>
      </c>
      <c r="L14" s="14">
        <f t="shared" si="1"/>
        <v>34.274998325369495</v>
      </c>
      <c r="M14" s="9" t="s">
        <v>63</v>
      </c>
      <c r="N14" s="11" t="s">
        <v>9</v>
      </c>
    </row>
    <row r="15" spans="1:17" x14ac:dyDescent="0.2">
      <c r="A15" s="8"/>
      <c r="B15" s="9"/>
      <c r="C15" s="9"/>
      <c r="D15" s="10"/>
      <c r="E15" s="9"/>
      <c r="F15" s="9"/>
      <c r="G15" s="9"/>
      <c r="H15" s="8"/>
      <c r="I15" s="9"/>
      <c r="J15" s="11"/>
      <c r="K15" s="46"/>
      <c r="L15" s="14"/>
      <c r="M15" s="9"/>
      <c r="N15" s="11"/>
    </row>
    <row r="16" spans="1:17" ht="17" x14ac:dyDescent="0.2">
      <c r="A16" s="28" t="s">
        <v>167</v>
      </c>
      <c r="B16" s="29" t="s">
        <v>168</v>
      </c>
      <c r="C16" s="29" t="s">
        <v>169</v>
      </c>
      <c r="D16" s="30" t="s">
        <v>170</v>
      </c>
      <c r="E16" s="29"/>
      <c r="F16" s="29"/>
      <c r="G16" s="29"/>
      <c r="H16" s="28"/>
      <c r="I16" s="41">
        <f>AVERAGE(0.009,0.012)</f>
        <v>1.0499999999999999E-2</v>
      </c>
      <c r="J16" s="31" t="s">
        <v>186</v>
      </c>
      <c r="K16" s="50"/>
      <c r="L16" s="50"/>
      <c r="M16" s="29"/>
      <c r="N16" s="31"/>
    </row>
    <row r="17" spans="1:14" x14ac:dyDescent="0.2">
      <c r="B17" s="4"/>
      <c r="C17" s="4"/>
      <c r="D17" s="4"/>
      <c r="E17" s="4"/>
      <c r="F17" s="4"/>
      <c r="G17" s="4"/>
      <c r="I17" s="4"/>
      <c r="M17" s="4"/>
    </row>
    <row r="18" spans="1:14" x14ac:dyDescent="0.2">
      <c r="A18" s="5" t="s">
        <v>70</v>
      </c>
      <c r="B18" s="6"/>
      <c r="C18" s="6"/>
      <c r="D18" s="6"/>
      <c r="E18" s="6"/>
      <c r="F18" s="6"/>
      <c r="G18" s="6"/>
      <c r="H18" s="7"/>
      <c r="I18" s="6"/>
      <c r="J18" s="7"/>
      <c r="K18" s="51">
        <f>SUM(K19:K27)*1000</f>
        <v>4151531.1548209377</v>
      </c>
      <c r="L18" s="51">
        <f>SUM(L19:L27)*2*SQRT(1000)</f>
        <v>27483.840981511847</v>
      </c>
      <c r="M18" s="6"/>
      <c r="N18" s="7"/>
    </row>
    <row r="19" spans="1:14" x14ac:dyDescent="0.2">
      <c r="A19" s="8" t="s">
        <v>71</v>
      </c>
      <c r="B19" s="9" t="s">
        <v>72</v>
      </c>
      <c r="C19" s="9" t="s">
        <v>73</v>
      </c>
      <c r="D19" s="10" t="s">
        <v>74</v>
      </c>
      <c r="E19" s="9">
        <v>2150</v>
      </c>
      <c r="F19" s="9">
        <v>4</v>
      </c>
      <c r="G19" s="9">
        <f>AVERAGE(14.2,39.2,56.7)</f>
        <v>36.700000000000003</v>
      </c>
      <c r="H19" s="8" t="s">
        <v>75</v>
      </c>
      <c r="I19" s="27">
        <f>AVERAGE(1.5,2.1,4.7)</f>
        <v>2.7666666666666671</v>
      </c>
      <c r="J19" s="8" t="s">
        <v>75</v>
      </c>
      <c r="K19" s="46">
        <f>E19/G19</f>
        <v>58.583106267029969</v>
      </c>
      <c r="L19" s="53">
        <f>SQRT(F19*I19*K19)</f>
        <v>25.462123033147328</v>
      </c>
      <c r="M19" s="9" t="s">
        <v>63</v>
      </c>
      <c r="N19" s="11" t="s">
        <v>9</v>
      </c>
    </row>
    <row r="20" spans="1:14" ht="17" x14ac:dyDescent="0.2">
      <c r="A20" s="8" t="s">
        <v>76</v>
      </c>
      <c r="B20" s="9" t="s">
        <v>77</v>
      </c>
      <c r="C20" s="9" t="s">
        <v>78</v>
      </c>
      <c r="D20" s="10" t="s">
        <v>79</v>
      </c>
      <c r="E20" s="9">
        <v>1773</v>
      </c>
      <c r="F20" s="9">
        <v>4</v>
      </c>
      <c r="G20" s="9">
        <v>15.6</v>
      </c>
      <c r="H20" s="11" t="s">
        <v>80</v>
      </c>
      <c r="I20" s="9">
        <v>0.16</v>
      </c>
      <c r="J20" s="8" t="s">
        <v>81</v>
      </c>
      <c r="K20" s="46">
        <f t="shared" ref="K20:K27" si="2">E20/G20</f>
        <v>113.65384615384616</v>
      </c>
      <c r="L20" s="53">
        <f t="shared" ref="L20:L26" si="3">SQRT(F20*I20*K20)</f>
        <v>8.5286846311996758</v>
      </c>
      <c r="M20" s="9" t="s">
        <v>10</v>
      </c>
      <c r="N20" s="11" t="s">
        <v>9</v>
      </c>
    </row>
    <row r="21" spans="1:14" ht="18" x14ac:dyDescent="0.25">
      <c r="A21" s="8" t="s">
        <v>82</v>
      </c>
      <c r="B21" s="9" t="s">
        <v>83</v>
      </c>
      <c r="C21" s="9" t="s">
        <v>84</v>
      </c>
      <c r="D21" s="10" t="s">
        <v>85</v>
      </c>
      <c r="E21" s="9">
        <v>1373</v>
      </c>
      <c r="F21" s="9">
        <v>7</v>
      </c>
      <c r="G21" s="9">
        <v>9.8000000000000007</v>
      </c>
      <c r="H21" s="8" t="s">
        <v>46</v>
      </c>
      <c r="I21" s="12">
        <f>AVERAGE(0.11,0.13,0.14,0.25)</f>
        <v>0.1575</v>
      </c>
      <c r="J21" s="8" t="s">
        <v>46</v>
      </c>
      <c r="K21" s="46">
        <f t="shared" si="2"/>
        <v>140.10204081632651</v>
      </c>
      <c r="L21" s="53">
        <f t="shared" si="3"/>
        <v>12.428294331886415</v>
      </c>
      <c r="M21" s="9" t="s">
        <v>63</v>
      </c>
      <c r="N21" s="11" t="s">
        <v>9</v>
      </c>
    </row>
    <row r="22" spans="1:14" ht="18" x14ac:dyDescent="0.25">
      <c r="A22" s="8" t="s">
        <v>86</v>
      </c>
      <c r="B22" s="9" t="s">
        <v>87</v>
      </c>
      <c r="C22" s="9" t="s">
        <v>88</v>
      </c>
      <c r="D22" s="10" t="s">
        <v>89</v>
      </c>
      <c r="E22" s="9">
        <v>1252</v>
      </c>
      <c r="F22" s="9">
        <v>7</v>
      </c>
      <c r="G22" s="9">
        <v>20</v>
      </c>
      <c r="H22" s="11" t="s">
        <v>90</v>
      </c>
      <c r="I22" s="12">
        <v>0.52900000000000003</v>
      </c>
      <c r="J22" s="11" t="s">
        <v>9</v>
      </c>
      <c r="K22" s="46">
        <f t="shared" si="2"/>
        <v>62.6</v>
      </c>
      <c r="L22" s="53">
        <f t="shared" si="3"/>
        <v>15.225235630360537</v>
      </c>
      <c r="M22" s="9" t="s">
        <v>63</v>
      </c>
      <c r="N22" s="11" t="s">
        <v>9</v>
      </c>
    </row>
    <row r="23" spans="1:14" ht="17" x14ac:dyDescent="0.25">
      <c r="A23" s="8" t="s">
        <v>91</v>
      </c>
      <c r="B23" s="9" t="s">
        <v>92</v>
      </c>
      <c r="C23" s="9" t="s">
        <v>93</v>
      </c>
      <c r="D23" s="10" t="s">
        <v>94</v>
      </c>
      <c r="E23" s="9">
        <v>1325</v>
      </c>
      <c r="F23" s="9">
        <v>11</v>
      </c>
      <c r="G23" s="9">
        <v>1</v>
      </c>
      <c r="H23" s="8" t="s">
        <v>28</v>
      </c>
      <c r="I23" s="12">
        <f>AVERAGE(0.02,0.022)</f>
        <v>2.0999999999999998E-2</v>
      </c>
      <c r="J23" s="11" t="s">
        <v>9</v>
      </c>
      <c r="K23" s="46">
        <f t="shared" si="2"/>
        <v>1325</v>
      </c>
      <c r="L23" s="53">
        <f t="shared" si="3"/>
        <v>17.494999285510129</v>
      </c>
      <c r="M23" s="9" t="s">
        <v>10</v>
      </c>
      <c r="N23" s="11" t="s">
        <v>9</v>
      </c>
    </row>
    <row r="24" spans="1:14" x14ac:dyDescent="0.2">
      <c r="A24" s="8" t="s">
        <v>95</v>
      </c>
      <c r="B24" s="9" t="s">
        <v>96</v>
      </c>
      <c r="C24" s="9" t="s">
        <v>36</v>
      </c>
      <c r="D24" s="10" t="s">
        <v>37</v>
      </c>
      <c r="E24" s="9">
        <v>1964</v>
      </c>
      <c r="F24" s="9">
        <v>11</v>
      </c>
      <c r="G24" s="9">
        <v>1</v>
      </c>
      <c r="H24" s="8" t="s">
        <v>28</v>
      </c>
      <c r="I24" s="27">
        <f>AVERAGE(1.21,5.2)</f>
        <v>3.2050000000000001</v>
      </c>
      <c r="J24" s="8" t="s">
        <v>97</v>
      </c>
      <c r="K24" s="46">
        <f t="shared" si="2"/>
        <v>1964</v>
      </c>
      <c r="L24" s="53">
        <f t="shared" si="3"/>
        <v>263.13650449909073</v>
      </c>
      <c r="M24" s="9" t="s">
        <v>10</v>
      </c>
      <c r="N24" s="11" t="s">
        <v>9</v>
      </c>
    </row>
    <row r="25" spans="1:14" ht="17" x14ac:dyDescent="0.25">
      <c r="A25" s="8" t="s">
        <v>98</v>
      </c>
      <c r="B25" s="9" t="s">
        <v>99</v>
      </c>
      <c r="C25" s="9" t="s">
        <v>100</v>
      </c>
      <c r="D25" s="10" t="s">
        <v>101</v>
      </c>
      <c r="E25" s="9">
        <v>1830</v>
      </c>
      <c r="F25" s="9">
        <v>11</v>
      </c>
      <c r="G25" s="9">
        <v>140</v>
      </c>
      <c r="H25" s="8" t="s">
        <v>102</v>
      </c>
      <c r="I25" s="9">
        <f>AVERAGE(1.3,1.5)</f>
        <v>1.4</v>
      </c>
      <c r="J25" s="16" t="s">
        <v>103</v>
      </c>
      <c r="K25" s="46">
        <f t="shared" si="2"/>
        <v>13.071428571428571</v>
      </c>
      <c r="L25" s="53">
        <f t="shared" si="3"/>
        <v>14.188023118109161</v>
      </c>
      <c r="M25" s="9" t="s">
        <v>10</v>
      </c>
      <c r="N25" s="8" t="s">
        <v>104</v>
      </c>
    </row>
    <row r="26" spans="1:14" x14ac:dyDescent="0.2">
      <c r="A26" s="8" t="s">
        <v>105</v>
      </c>
      <c r="B26" s="9" t="s">
        <v>106</v>
      </c>
      <c r="C26" s="9" t="s">
        <v>107</v>
      </c>
      <c r="D26" s="10" t="s">
        <v>108</v>
      </c>
      <c r="E26" s="9">
        <v>1333</v>
      </c>
      <c r="F26" s="9">
        <v>7</v>
      </c>
      <c r="G26" s="9">
        <v>84</v>
      </c>
      <c r="H26" s="11" t="s">
        <v>9</v>
      </c>
      <c r="I26" s="9">
        <v>0.16</v>
      </c>
      <c r="J26" s="11" t="s">
        <v>9</v>
      </c>
      <c r="K26" s="46">
        <f t="shared" si="2"/>
        <v>15.869047619047619</v>
      </c>
      <c r="L26" s="53">
        <f t="shared" si="3"/>
        <v>4.2158431343366338</v>
      </c>
      <c r="M26" s="9" t="s">
        <v>10</v>
      </c>
      <c r="N26" s="11" t="s">
        <v>9</v>
      </c>
    </row>
    <row r="27" spans="1:14" ht="18" x14ac:dyDescent="0.25">
      <c r="A27" s="8" t="s">
        <v>109</v>
      </c>
      <c r="B27" s="9" t="s">
        <v>110</v>
      </c>
      <c r="C27" s="9" t="s">
        <v>111</v>
      </c>
      <c r="D27" s="10" t="s">
        <v>112</v>
      </c>
      <c r="E27" s="9">
        <v>2041</v>
      </c>
      <c r="F27" s="9">
        <v>7</v>
      </c>
      <c r="G27" s="27">
        <f>AVERAGE(1.8,7.1)</f>
        <v>4.45</v>
      </c>
      <c r="H27" s="11" t="s">
        <v>16</v>
      </c>
      <c r="I27" s="9">
        <v>1.7</v>
      </c>
      <c r="J27" s="11" t="s">
        <v>9</v>
      </c>
      <c r="K27" s="46">
        <f t="shared" si="2"/>
        <v>458.65168539325839</v>
      </c>
      <c r="L27" s="53">
        <f>SQRT(F27*I27*K27)</f>
        <v>73.877974093634805</v>
      </c>
      <c r="M27" s="9" t="s">
        <v>10</v>
      </c>
      <c r="N27" s="11" t="s">
        <v>16</v>
      </c>
    </row>
    <row r="28" spans="1:14" ht="17" x14ac:dyDescent="0.2">
      <c r="A28" s="28" t="s">
        <v>171</v>
      </c>
      <c r="B28" s="29" t="s">
        <v>172</v>
      </c>
      <c r="C28" s="29" t="s">
        <v>173</v>
      </c>
      <c r="D28" s="30" t="s">
        <v>174</v>
      </c>
      <c r="E28" s="29"/>
      <c r="F28" s="29"/>
      <c r="G28" s="32"/>
      <c r="H28" s="31"/>
      <c r="I28" s="40">
        <f>AVERAGE(0.0025,0.005,0.005,0.006,0.0026,0.004)</f>
        <v>4.1833333333333332E-3</v>
      </c>
      <c r="J28" s="31" t="s">
        <v>187</v>
      </c>
      <c r="K28" s="47"/>
      <c r="L28" s="31"/>
      <c r="M28" s="29"/>
      <c r="N28" s="31"/>
    </row>
    <row r="29" spans="1:14" x14ac:dyDescent="0.2">
      <c r="A29" s="18"/>
      <c r="B29" s="19"/>
      <c r="C29" s="19"/>
      <c r="D29" s="20"/>
      <c r="E29" s="19"/>
      <c r="F29" s="19"/>
      <c r="G29" s="19"/>
      <c r="H29" s="21"/>
      <c r="I29" s="19"/>
      <c r="J29" s="21"/>
      <c r="K29" s="48"/>
      <c r="L29" s="21"/>
      <c r="M29" s="19"/>
      <c r="N29" s="21"/>
    </row>
    <row r="30" spans="1:14" x14ac:dyDescent="0.2">
      <c r="A30" s="5" t="s">
        <v>113</v>
      </c>
      <c r="B30" s="6"/>
      <c r="C30" s="6"/>
      <c r="D30" s="6"/>
      <c r="E30" s="6"/>
      <c r="F30" s="6"/>
      <c r="G30" s="6"/>
      <c r="H30" s="7"/>
      <c r="I30" s="6"/>
      <c r="J30" s="7"/>
      <c r="K30" s="51">
        <f>SUM(K31:K34)*1000</f>
        <v>3645970.2026221692</v>
      </c>
      <c r="L30" s="51">
        <f>SUM(L31:L34)*2*SQRT(1000)</f>
        <v>35166.314082455807</v>
      </c>
      <c r="M30" s="6"/>
      <c r="N30" s="7"/>
    </row>
    <row r="31" spans="1:14" x14ac:dyDescent="0.2">
      <c r="A31" s="8" t="s">
        <v>114</v>
      </c>
      <c r="B31" s="9" t="s">
        <v>115</v>
      </c>
      <c r="C31" s="9" t="s">
        <v>116</v>
      </c>
      <c r="D31" s="10" t="s">
        <v>117</v>
      </c>
      <c r="E31" s="9">
        <v>1705</v>
      </c>
      <c r="F31" s="9">
        <v>5</v>
      </c>
      <c r="G31" s="9">
        <v>1</v>
      </c>
      <c r="H31" s="8" t="s">
        <v>28</v>
      </c>
      <c r="I31" s="9">
        <v>12</v>
      </c>
      <c r="J31" s="11" t="s">
        <v>155</v>
      </c>
      <c r="K31" s="46">
        <f t="shared" ref="K31:K34" si="4">E31/G31</f>
        <v>1705</v>
      </c>
      <c r="L31" s="53">
        <f>SQRT(F31*I31*K31)</f>
        <v>319.84371183438952</v>
      </c>
      <c r="M31" s="9" t="s">
        <v>10</v>
      </c>
      <c r="N31" s="11" t="s">
        <v>9</v>
      </c>
    </row>
    <row r="32" spans="1:14" ht="17" x14ac:dyDescent="0.2">
      <c r="A32" s="8" t="s">
        <v>118</v>
      </c>
      <c r="B32" s="9" t="s">
        <v>119</v>
      </c>
      <c r="C32" s="9" t="s">
        <v>120</v>
      </c>
      <c r="D32" s="10" t="s">
        <v>121</v>
      </c>
      <c r="E32" s="9">
        <v>1938</v>
      </c>
      <c r="F32" s="9">
        <v>5</v>
      </c>
      <c r="G32" s="9">
        <v>1</v>
      </c>
      <c r="H32" s="8" t="s">
        <v>28</v>
      </c>
      <c r="I32" s="12">
        <f>AVERAGE(0.35,11)</f>
        <v>5.6749999999999998</v>
      </c>
      <c r="J32" s="8" t="s">
        <v>166</v>
      </c>
      <c r="K32" s="46">
        <f t="shared" si="4"/>
        <v>1938</v>
      </c>
      <c r="L32" s="53">
        <f t="shared" ref="L32:L34" si="5">SQRT(F32*I32*K32)</f>
        <v>234.50106609565765</v>
      </c>
      <c r="M32" s="9" t="s">
        <v>156</v>
      </c>
      <c r="N32" s="11" t="s">
        <v>9</v>
      </c>
    </row>
    <row r="33" spans="1:14" ht="18" x14ac:dyDescent="0.25">
      <c r="A33" s="24"/>
      <c r="B33" s="25" t="s">
        <v>122</v>
      </c>
      <c r="C33" s="25" t="s">
        <v>123</v>
      </c>
      <c r="D33" s="25"/>
      <c r="E33" s="25"/>
      <c r="F33" s="25"/>
      <c r="G33" s="25"/>
      <c r="H33" s="24"/>
      <c r="I33" s="25"/>
      <c r="J33" s="24"/>
      <c r="K33" s="46"/>
      <c r="L33" s="53">
        <f t="shared" si="5"/>
        <v>0</v>
      </c>
      <c r="M33" s="25"/>
      <c r="N33" s="24"/>
    </row>
    <row r="34" spans="1:14" ht="17" x14ac:dyDescent="0.2">
      <c r="A34" s="8" t="s">
        <v>124</v>
      </c>
      <c r="B34" s="9" t="s">
        <v>125</v>
      </c>
      <c r="C34" s="9" t="s">
        <v>126</v>
      </c>
      <c r="D34" s="10" t="s">
        <v>127</v>
      </c>
      <c r="E34" s="9">
        <v>1246</v>
      </c>
      <c r="F34" s="9">
        <v>5</v>
      </c>
      <c r="G34" s="9">
        <f>AVERAGE(387.3,451.7)</f>
        <v>419.5</v>
      </c>
      <c r="H34" s="11" t="s">
        <v>16</v>
      </c>
      <c r="I34" s="12">
        <f>AVERAGE(0.34,0.14,0.15,0.255,0.23,0.03)</f>
        <v>0.19083333333333333</v>
      </c>
      <c r="J34" s="11" t="s">
        <v>9</v>
      </c>
      <c r="K34" s="46">
        <f t="shared" si="4"/>
        <v>2.970202622169249</v>
      </c>
      <c r="L34" s="53">
        <f t="shared" si="5"/>
        <v>1.6834691370262256</v>
      </c>
      <c r="M34" s="9" t="s">
        <v>157</v>
      </c>
      <c r="N34" s="11" t="s">
        <v>9</v>
      </c>
    </row>
    <row r="35" spans="1:14" ht="17" x14ac:dyDescent="0.2">
      <c r="A35" s="28" t="s">
        <v>175</v>
      </c>
      <c r="B35" s="29" t="s">
        <v>176</v>
      </c>
      <c r="C35" s="29" t="s">
        <v>177</v>
      </c>
      <c r="D35" s="30" t="s">
        <v>178</v>
      </c>
      <c r="E35" s="29"/>
      <c r="F35" s="29"/>
      <c r="G35" s="29"/>
      <c r="H35" s="31"/>
      <c r="I35" s="33">
        <f>AVERAGE(0.18,0.18,0.228,0.25,0.3)</f>
        <v>0.22759999999999997</v>
      </c>
      <c r="J35" s="31" t="s">
        <v>188</v>
      </c>
      <c r="K35" s="47"/>
      <c r="L35" s="31"/>
      <c r="M35" s="29"/>
      <c r="N35" s="31"/>
    </row>
    <row r="36" spans="1:14" x14ac:dyDescent="0.2">
      <c r="A36" s="18"/>
      <c r="B36" s="19"/>
      <c r="C36" s="19"/>
      <c r="D36" s="20"/>
      <c r="E36" s="19"/>
      <c r="F36" s="19"/>
      <c r="G36" s="19"/>
      <c r="H36" s="18"/>
      <c r="I36" s="19"/>
      <c r="J36" s="18"/>
      <c r="K36" s="49"/>
      <c r="L36" s="18"/>
      <c r="M36" s="19"/>
      <c r="N36" s="18"/>
    </row>
    <row r="37" spans="1:14" x14ac:dyDescent="0.2">
      <c r="A37" s="22" t="s">
        <v>142</v>
      </c>
      <c r="B37" s="6"/>
      <c r="C37" s="6"/>
      <c r="D37" s="6"/>
      <c r="E37" s="6"/>
      <c r="F37" s="6"/>
      <c r="G37" s="6"/>
      <c r="H37" s="7"/>
      <c r="I37" s="6"/>
      <c r="J37" s="7"/>
      <c r="K37" s="51">
        <f>SUM(K38:K40)*1000</f>
        <v>1171070.8698998257</v>
      </c>
      <c r="L37" s="51">
        <f>SUM(L38:L40)*2*SQRT(1000)</f>
        <v>1680.878504952291</v>
      </c>
      <c r="M37" s="6"/>
      <c r="N37" s="7"/>
    </row>
    <row r="38" spans="1:14" ht="17" x14ac:dyDescent="0.2">
      <c r="A38" s="17" t="s">
        <v>143</v>
      </c>
      <c r="B38" s="9" t="s">
        <v>153</v>
      </c>
      <c r="C38" s="9" t="s">
        <v>146</v>
      </c>
      <c r="D38" s="10" t="s">
        <v>147</v>
      </c>
      <c r="E38" s="9">
        <v>1966</v>
      </c>
      <c r="F38" s="9">
        <v>3</v>
      </c>
      <c r="G38" s="9">
        <v>13.5</v>
      </c>
      <c r="H38" s="8" t="s">
        <v>158</v>
      </c>
      <c r="I38" s="9">
        <v>0.49</v>
      </c>
      <c r="J38" s="8" t="s">
        <v>158</v>
      </c>
      <c r="K38" s="46">
        <f t="shared" ref="K38:K40" si="6">E38/G38</f>
        <v>145.62962962962962</v>
      </c>
      <c r="L38" s="53">
        <f t="shared" ref="L38:L40" si="7">SQRT(F38*I38*K38)</f>
        <v>14.63132104615149</v>
      </c>
      <c r="M38" s="9" t="s">
        <v>63</v>
      </c>
      <c r="N38" s="11" t="s">
        <v>9</v>
      </c>
    </row>
    <row r="39" spans="1:14" x14ac:dyDescent="0.2">
      <c r="A39" s="17" t="s">
        <v>144</v>
      </c>
      <c r="B39" s="9" t="s">
        <v>148</v>
      </c>
      <c r="C39" s="9" t="s">
        <v>149</v>
      </c>
      <c r="D39" s="10" t="s">
        <v>150</v>
      </c>
      <c r="E39" s="9">
        <v>1781</v>
      </c>
      <c r="F39" s="9">
        <v>3</v>
      </c>
      <c r="G39" s="9">
        <v>1.75</v>
      </c>
      <c r="H39" s="8" t="s">
        <v>159</v>
      </c>
      <c r="I39" s="9">
        <v>1.4999999999999999E-2</v>
      </c>
      <c r="J39" s="8" t="s">
        <v>159</v>
      </c>
      <c r="K39" s="46">
        <f t="shared" si="6"/>
        <v>1017.7142857142857</v>
      </c>
      <c r="L39" s="53">
        <f t="shared" si="7"/>
        <v>6.7673586322244557</v>
      </c>
      <c r="M39" s="9" t="s">
        <v>10</v>
      </c>
      <c r="N39" s="8" t="s">
        <v>160</v>
      </c>
    </row>
    <row r="40" spans="1:14" ht="17" x14ac:dyDescent="0.25">
      <c r="A40" s="17" t="s">
        <v>145</v>
      </c>
      <c r="B40" s="9" t="s">
        <v>154</v>
      </c>
      <c r="C40" s="9" t="s">
        <v>151</v>
      </c>
      <c r="D40" s="10" t="s">
        <v>152</v>
      </c>
      <c r="E40" s="9">
        <v>1562</v>
      </c>
      <c r="F40" s="9">
        <v>3</v>
      </c>
      <c r="G40" s="13">
        <f>AVERAGE(1.508,2.94,804,0.15)</f>
        <v>202.14949999999999</v>
      </c>
      <c r="H40" s="8" t="s">
        <v>163</v>
      </c>
      <c r="I40" s="27">
        <f>AVERAGE(0.207,1.5,1.5,1.6,2.041,0.0927)</f>
        <v>1.1567833333333335</v>
      </c>
      <c r="J40" s="8" t="s">
        <v>162</v>
      </c>
      <c r="K40" s="46">
        <f t="shared" si="6"/>
        <v>7.7269545559103543</v>
      </c>
      <c r="L40" s="53">
        <f t="shared" si="7"/>
        <v>5.1783430499633285</v>
      </c>
      <c r="M40" s="9" t="s">
        <v>10</v>
      </c>
      <c r="N40" s="11" t="s">
        <v>161</v>
      </c>
    </row>
    <row r="41" spans="1:14" ht="17" x14ac:dyDescent="0.2">
      <c r="A41" s="34" t="s">
        <v>179</v>
      </c>
      <c r="B41" s="29" t="s">
        <v>180</v>
      </c>
      <c r="C41" s="29" t="s">
        <v>181</v>
      </c>
      <c r="D41" s="30" t="s">
        <v>182</v>
      </c>
      <c r="E41" s="29"/>
      <c r="F41" s="29"/>
      <c r="G41" s="35"/>
      <c r="H41" s="28"/>
      <c r="I41" s="41">
        <f>AVERAGE(0.03,0.07,0.00034)</f>
        <v>3.3446666666666673E-2</v>
      </c>
      <c r="J41" s="28" t="s">
        <v>189</v>
      </c>
      <c r="K41" s="37"/>
      <c r="L41" s="28"/>
      <c r="M41" s="29"/>
      <c r="N41" s="31"/>
    </row>
    <row r="42" spans="1:14" x14ac:dyDescent="0.2">
      <c r="B42" s="4"/>
      <c r="C42" s="4"/>
      <c r="D42" s="4"/>
      <c r="E42" s="4"/>
      <c r="F42" s="4"/>
      <c r="G42" s="4"/>
      <c r="I42" s="4"/>
      <c r="M42" s="4"/>
    </row>
    <row r="43" spans="1:14" x14ac:dyDescent="0.2">
      <c r="A43" s="22" t="s">
        <v>128</v>
      </c>
      <c r="B43" s="6"/>
      <c r="C43" s="6"/>
      <c r="D43" s="6"/>
      <c r="E43" s="6"/>
      <c r="F43" s="6"/>
      <c r="G43" s="6"/>
      <c r="H43" s="7"/>
      <c r="I43" s="6"/>
      <c r="J43" s="7"/>
      <c r="K43" s="51">
        <f>SUM(K44:K48)*1000</f>
        <v>927156.04930320184</v>
      </c>
      <c r="L43" s="51">
        <f>SUM(L44:L48)*2*SQRT(1000)</f>
        <v>6776.0324243728837</v>
      </c>
      <c r="M43" s="6"/>
      <c r="N43" s="7"/>
    </row>
    <row r="44" spans="1:14" x14ac:dyDescent="0.2">
      <c r="A44" s="23" t="s">
        <v>71</v>
      </c>
      <c r="B44" s="9" t="s">
        <v>138</v>
      </c>
      <c r="C44" s="9" t="s">
        <v>73</v>
      </c>
      <c r="D44" s="10" t="s">
        <v>74</v>
      </c>
      <c r="E44" s="9">
        <v>2150</v>
      </c>
      <c r="F44" s="9">
        <v>4</v>
      </c>
      <c r="G44" s="9">
        <f>AVERAGE(14.2,39.2,56.7)</f>
        <v>36.700000000000003</v>
      </c>
      <c r="H44" s="8" t="s">
        <v>75</v>
      </c>
      <c r="I44" s="27">
        <f>AVERAGE(1.5,2.1,4.7)</f>
        <v>2.7666666666666671</v>
      </c>
      <c r="J44" s="8" t="s">
        <v>75</v>
      </c>
      <c r="K44" s="46">
        <f t="shared" ref="K44:K48" si="8">E44/G44</f>
        <v>58.583106267029969</v>
      </c>
      <c r="L44" s="53">
        <f t="shared" ref="L44:L48" si="9">SQRT(F44*I44*K44)</f>
        <v>25.462123033147328</v>
      </c>
      <c r="M44" s="9" t="s">
        <v>63</v>
      </c>
      <c r="N44" s="11" t="s">
        <v>9</v>
      </c>
    </row>
    <row r="45" spans="1:14" ht="17" x14ac:dyDescent="0.2">
      <c r="A45" s="23" t="s">
        <v>76</v>
      </c>
      <c r="B45" s="9" t="s">
        <v>77</v>
      </c>
      <c r="C45" s="9" t="s">
        <v>78</v>
      </c>
      <c r="D45" s="10" t="s">
        <v>79</v>
      </c>
      <c r="E45" s="9">
        <v>1773</v>
      </c>
      <c r="F45" s="9">
        <v>4</v>
      </c>
      <c r="G45" s="9">
        <v>15.6</v>
      </c>
      <c r="H45" s="11" t="s">
        <v>80</v>
      </c>
      <c r="I45" s="9">
        <v>0.16</v>
      </c>
      <c r="J45" s="8" t="s">
        <v>81</v>
      </c>
      <c r="K45" s="46">
        <f t="shared" si="8"/>
        <v>113.65384615384616</v>
      </c>
      <c r="L45" s="53">
        <f t="shared" si="9"/>
        <v>8.5286846311996758</v>
      </c>
      <c r="M45" s="9" t="s">
        <v>10</v>
      </c>
      <c r="N45" s="11" t="s">
        <v>9</v>
      </c>
    </row>
    <row r="46" spans="1:14" ht="17" x14ac:dyDescent="0.2">
      <c r="A46" s="23" t="s">
        <v>137</v>
      </c>
      <c r="B46" s="9" t="s">
        <v>141</v>
      </c>
      <c r="C46" s="9" t="s">
        <v>139</v>
      </c>
      <c r="D46" s="10" t="s">
        <v>140</v>
      </c>
      <c r="E46" s="9">
        <v>3940</v>
      </c>
      <c r="F46" s="9">
        <v>4</v>
      </c>
      <c r="G46" s="27">
        <f>AVERAGE(2.8,9.68,11.58,12.98,19.3,22.58)</f>
        <v>13.153333333333334</v>
      </c>
      <c r="H46" s="11" t="s">
        <v>164</v>
      </c>
      <c r="I46" s="9">
        <v>0.17</v>
      </c>
      <c r="J46" s="11" t="s">
        <v>9</v>
      </c>
      <c r="K46" s="46">
        <f t="shared" si="8"/>
        <v>299.5438418651799</v>
      </c>
      <c r="L46" s="53">
        <f t="shared" si="9"/>
        <v>14.271993990621015</v>
      </c>
      <c r="M46" s="9" t="s">
        <v>10</v>
      </c>
      <c r="N46" s="8" t="s">
        <v>165</v>
      </c>
    </row>
    <row r="47" spans="1:14" ht="17" x14ac:dyDescent="0.2">
      <c r="A47" s="8" t="s">
        <v>129</v>
      </c>
      <c r="B47" s="9" t="s">
        <v>130</v>
      </c>
      <c r="C47" s="9" t="s">
        <v>131</v>
      </c>
      <c r="D47" s="10" t="s">
        <v>132</v>
      </c>
      <c r="E47" s="9">
        <v>1485</v>
      </c>
      <c r="F47" s="9">
        <v>4</v>
      </c>
      <c r="G47" s="9">
        <v>18.3</v>
      </c>
      <c r="H47" s="8" t="s">
        <v>46</v>
      </c>
      <c r="I47" s="27">
        <f>AVERAGE(0.14,6.9)</f>
        <v>3.52</v>
      </c>
      <c r="J47" s="8" t="s">
        <v>46</v>
      </c>
      <c r="K47" s="46">
        <f t="shared" si="8"/>
        <v>81.147540983606561</v>
      </c>
      <c r="L47" s="53">
        <f t="shared" si="9"/>
        <v>33.801736302284539</v>
      </c>
      <c r="M47" s="9" t="s">
        <v>10</v>
      </c>
      <c r="N47" s="11" t="s">
        <v>9</v>
      </c>
    </row>
    <row r="48" spans="1:14" ht="17" x14ac:dyDescent="0.25">
      <c r="A48" s="8" t="s">
        <v>133</v>
      </c>
      <c r="B48" s="9" t="s">
        <v>134</v>
      </c>
      <c r="C48" s="9" t="s">
        <v>135</v>
      </c>
      <c r="D48" s="10" t="s">
        <v>136</v>
      </c>
      <c r="E48" s="9">
        <v>2120</v>
      </c>
      <c r="F48" s="9">
        <v>4</v>
      </c>
      <c r="G48" s="27">
        <f>AVERAGE(4,7.33)</f>
        <v>5.665</v>
      </c>
      <c r="H48" s="11" t="s">
        <v>9</v>
      </c>
      <c r="I48" s="27">
        <f>AVERAGE(0.34,0.5)</f>
        <v>0.42000000000000004</v>
      </c>
      <c r="J48" s="11" t="s">
        <v>9</v>
      </c>
      <c r="K48" s="46">
        <f t="shared" si="8"/>
        <v>374.22771403353926</v>
      </c>
      <c r="L48" s="53">
        <f t="shared" si="9"/>
        <v>25.073941843602217</v>
      </c>
      <c r="M48" s="9" t="s">
        <v>10</v>
      </c>
      <c r="N48" s="11" t="s">
        <v>16</v>
      </c>
    </row>
    <row r="49" spans="1:14" ht="17" x14ac:dyDescent="0.2">
      <c r="A49" s="28" t="s">
        <v>183</v>
      </c>
      <c r="B49" s="37" t="s">
        <v>191</v>
      </c>
      <c r="C49" s="37" t="s">
        <v>184</v>
      </c>
      <c r="D49" s="38" t="s">
        <v>185</v>
      </c>
      <c r="E49" s="37"/>
      <c r="F49" s="37"/>
      <c r="G49" s="36"/>
      <c r="H49" s="39"/>
      <c r="I49" s="42">
        <f>AVERAGE(0.11,0.11,0.201)</f>
        <v>0.14033333333333334</v>
      </c>
      <c r="J49" s="43" t="s">
        <v>190</v>
      </c>
      <c r="K49" s="47"/>
      <c r="L49" s="43"/>
      <c r="M49" s="34"/>
      <c r="N49" s="31"/>
    </row>
    <row r="50" spans="1:14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</row>
    <row r="51" spans="1:14" x14ac:dyDescent="0.2">
      <c r="B51" s="57" t="s">
        <v>224</v>
      </c>
    </row>
    <row r="52" spans="1:14" ht="21" x14ac:dyDescent="0.25">
      <c r="B52" s="58" t="s">
        <v>225</v>
      </c>
    </row>
    <row r="53" spans="1:14" ht="21" x14ac:dyDescent="0.25">
      <c r="B53" s="58" t="s">
        <v>226</v>
      </c>
    </row>
  </sheetData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40" r:id="rId21"/>
    <hyperlink ref="D39" r:id="rId22"/>
    <hyperlink ref="D38" r:id="rId23"/>
    <hyperlink ref="D31" r:id="rId24"/>
    <hyperlink ref="D32" r:id="rId25"/>
    <hyperlink ref="D34" r:id="rId26"/>
    <hyperlink ref="D47" r:id="rId27"/>
    <hyperlink ref="D48" r:id="rId28"/>
    <hyperlink ref="D45" r:id="rId29"/>
    <hyperlink ref="D44" r:id="rId30"/>
    <hyperlink ref="D46" r:id="rId31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H20" sqref="H20"/>
    </sheetView>
  </sheetViews>
  <sheetFormatPr baseColWidth="10" defaultRowHeight="15" x14ac:dyDescent="0.2"/>
  <sheetData>
    <row r="1" spans="1:15" x14ac:dyDescent="0.2">
      <c r="A1" t="s">
        <v>198</v>
      </c>
      <c r="F1" t="s">
        <v>192</v>
      </c>
      <c r="G1" t="s">
        <v>193</v>
      </c>
    </row>
    <row r="2" spans="1:15" x14ac:dyDescent="0.2">
      <c r="E2" t="s">
        <v>200</v>
      </c>
      <c r="F2">
        <v>19141</v>
      </c>
      <c r="G2">
        <v>1764</v>
      </c>
      <c r="J2" t="s">
        <v>214</v>
      </c>
    </row>
    <row r="3" spans="1:15" x14ac:dyDescent="0.2">
      <c r="A3" t="s">
        <v>194</v>
      </c>
      <c r="E3" t="s">
        <v>201</v>
      </c>
      <c r="F3">
        <v>4152</v>
      </c>
      <c r="G3">
        <v>435</v>
      </c>
      <c r="K3" t="s">
        <v>215</v>
      </c>
      <c r="L3" t="s">
        <v>220</v>
      </c>
      <c r="M3" t="s">
        <v>217</v>
      </c>
      <c r="N3" t="s">
        <v>218</v>
      </c>
      <c r="O3" t="s">
        <v>219</v>
      </c>
    </row>
    <row r="4" spans="1:15" x14ac:dyDescent="0.2">
      <c r="B4" t="s">
        <v>200</v>
      </c>
      <c r="C4">
        <f>1000*0.335*0.4*0.1/10^(-3)</f>
        <v>13400</v>
      </c>
      <c r="E4" t="s">
        <v>195</v>
      </c>
      <c r="F4">
        <v>3646</v>
      </c>
      <c r="G4">
        <v>556</v>
      </c>
      <c r="J4" t="s">
        <v>216</v>
      </c>
      <c r="K4">
        <f>10^6</f>
        <v>1000000</v>
      </c>
      <c r="L4">
        <f>K4/K4</f>
        <v>1</v>
      </c>
      <c r="M4">
        <f>(K4+C14+C15)/K4</f>
        <v>48.818090897844414</v>
      </c>
      <c r="N4">
        <f>(D14+K4)/K4</f>
        <v>74.077260548135897</v>
      </c>
      <c r="O4">
        <f>(D15+K4)/K4</f>
        <v>23.490682459488703</v>
      </c>
    </row>
    <row r="5" spans="1:15" x14ac:dyDescent="0.2">
      <c r="B5" t="s">
        <v>201</v>
      </c>
      <c r="C5">
        <f>1000*0.385*0.4*0.1/10^(-3)</f>
        <v>15400</v>
      </c>
      <c r="E5" t="s">
        <v>196</v>
      </c>
      <c r="F5">
        <v>1171</v>
      </c>
      <c r="G5">
        <v>27</v>
      </c>
      <c r="J5" t="s">
        <v>221</v>
      </c>
      <c r="K5">
        <f>10^6</f>
        <v>1000000</v>
      </c>
      <c r="L5">
        <f>K5/K5</f>
        <v>1</v>
      </c>
      <c r="M5">
        <f>(K5+F37+F38)/K5</f>
        <v>48.818090897844414</v>
      </c>
      <c r="N5">
        <f>(K5+G37)/K5</f>
        <v>52.719487032258932</v>
      </c>
      <c r="O5">
        <f>(K5+G38)/K5</f>
        <v>16.905505642262085</v>
      </c>
    </row>
    <row r="6" spans="1:15" x14ac:dyDescent="0.2">
      <c r="B6" t="s">
        <v>195</v>
      </c>
      <c r="C6">
        <f>1000*0.25*0.4*0.1/10^(-3)</f>
        <v>10000</v>
      </c>
      <c r="E6" t="s">
        <v>197</v>
      </c>
      <c r="F6">
        <v>927</v>
      </c>
      <c r="G6">
        <v>107</v>
      </c>
    </row>
    <row r="7" spans="1:15" x14ac:dyDescent="0.2">
      <c r="B7" t="s">
        <v>196</v>
      </c>
      <c r="C7">
        <f>1000*0.24*0.4*0.1/10^(-3)</f>
        <v>9600.0000000000018</v>
      </c>
    </row>
    <row r="8" spans="1:15" x14ac:dyDescent="0.2">
      <c r="B8" t="s">
        <v>197</v>
      </c>
      <c r="C8">
        <f>1000*0.285*0.4*0.1/10^(-3)</f>
        <v>11400</v>
      </c>
    </row>
    <row r="11" spans="1:15" x14ac:dyDescent="0.2">
      <c r="A11" t="s">
        <v>202</v>
      </c>
      <c r="C11" t="s">
        <v>211</v>
      </c>
      <c r="D11" t="s">
        <v>203</v>
      </c>
      <c r="E11" t="s">
        <v>204</v>
      </c>
      <c r="G11" t="s">
        <v>206</v>
      </c>
      <c r="H11" t="s">
        <v>207</v>
      </c>
    </row>
    <row r="12" spans="1:15" x14ac:dyDescent="0.2">
      <c r="B12" t="s">
        <v>200</v>
      </c>
      <c r="C12" s="55">
        <f>F2*C4+2*G2*SQRT(C4)</f>
        <v>256897795.52593043</v>
      </c>
      <c r="D12">
        <f>F2*2*C4+2*G2*SQRT(2*C4)</f>
        <v>513556358.49158335</v>
      </c>
      <c r="E12">
        <f>2*C12</f>
        <v>513795591.05186087</v>
      </c>
      <c r="G12">
        <f>F2*2.5*C4+2*G2*SQRT(2.5*C4)</f>
        <v>641869230.02408123</v>
      </c>
      <c r="H12">
        <f>2.5*C12</f>
        <v>642244488.81482613</v>
      </c>
    </row>
    <row r="13" spans="1:15" x14ac:dyDescent="0.2">
      <c r="B13" t="s">
        <v>201</v>
      </c>
      <c r="C13" s="55">
        <f>F3*C5+2*G3*SQRT(C5)</f>
        <v>64048764.160720117</v>
      </c>
      <c r="D13">
        <f>F3*2*C5+2*G3*SQRT(2*C5)</f>
        <v>128034284.38034062</v>
      </c>
      <c r="E13">
        <f t="shared" ref="E13:E16" si="0">2*C13</f>
        <v>128097528.32144023</v>
      </c>
      <c r="G13">
        <f t="shared" ref="G13:G16" si="1">F3*2.5*C5+2*G3*SQRT(2.5*C5)</f>
        <v>160022706.32677203</v>
      </c>
      <c r="H13">
        <f t="shared" ref="H13:H16" si="2">2.5*C13</f>
        <v>160121910.4018003</v>
      </c>
    </row>
    <row r="14" spans="1:15" x14ac:dyDescent="0.2">
      <c r="B14" t="s">
        <v>195</v>
      </c>
      <c r="C14" s="55">
        <f>F4*C6+2*G4*SQRT(C6)</f>
        <v>36571200</v>
      </c>
      <c r="D14">
        <f t="shared" ref="D14:D16" si="3">F4*2*C6+2*G4*SQRT(2*C6)</f>
        <v>73077260.548135892</v>
      </c>
      <c r="E14">
        <f t="shared" si="0"/>
        <v>73142400</v>
      </c>
      <c r="G14">
        <f t="shared" si="1"/>
        <v>91325822.637905359</v>
      </c>
      <c r="H14">
        <f t="shared" si="2"/>
        <v>91428000</v>
      </c>
    </row>
    <row r="15" spans="1:15" x14ac:dyDescent="0.2">
      <c r="B15" t="s">
        <v>196</v>
      </c>
      <c r="C15" s="55">
        <f t="shared" ref="C15:C16" si="4">F5*C7+2*G5*SQRT(C7)</f>
        <v>11246890.897844413</v>
      </c>
      <c r="D15">
        <f t="shared" si="3"/>
        <v>22490682.459488701</v>
      </c>
      <c r="E15">
        <f t="shared" si="0"/>
        <v>22493781.795688827</v>
      </c>
      <c r="G15">
        <f t="shared" si="1"/>
        <v>28112365.644027811</v>
      </c>
      <c r="H15">
        <f t="shared" si="2"/>
        <v>28117227.244611032</v>
      </c>
    </row>
    <row r="16" spans="1:15" x14ac:dyDescent="0.2">
      <c r="B16" t="s">
        <v>197</v>
      </c>
      <c r="C16" s="55">
        <f t="shared" si="4"/>
        <v>10590648.947459348</v>
      </c>
      <c r="D16">
        <f t="shared" si="3"/>
        <v>21167913.291382957</v>
      </c>
      <c r="E16">
        <f t="shared" si="0"/>
        <v>21181297.894918695</v>
      </c>
      <c r="G16">
        <f t="shared" si="1"/>
        <v>26455627.358054526</v>
      </c>
      <c r="H16">
        <f t="shared" si="2"/>
        <v>26476622.368648369</v>
      </c>
    </row>
    <row r="18" spans="1:4" x14ac:dyDescent="0.2">
      <c r="A18" t="s">
        <v>205</v>
      </c>
      <c r="C18" t="s">
        <v>208</v>
      </c>
      <c r="D18" t="s">
        <v>209</v>
      </c>
    </row>
    <row r="19" spans="1:4" x14ac:dyDescent="0.2">
      <c r="B19" t="s">
        <v>200</v>
      </c>
      <c r="C19">
        <f>D12/E12</f>
        <v>0.99953438183502552</v>
      </c>
      <c r="D19">
        <f>G12/H12</f>
        <v>0.99941570726214035</v>
      </c>
    </row>
    <row r="20" spans="1:4" x14ac:dyDescent="0.2">
      <c r="B20" t="s">
        <v>201</v>
      </c>
      <c r="C20">
        <f t="shared" ref="C20:C23" si="5">D13/E13</f>
        <v>0.99950628289297738</v>
      </c>
      <c r="D20">
        <f t="shared" ref="D20:D23" si="6">G13/H13</f>
        <v>0.9993804465936027</v>
      </c>
    </row>
    <row r="21" spans="1:4" x14ac:dyDescent="0.2">
      <c r="B21" t="s">
        <v>195</v>
      </c>
      <c r="C21">
        <f t="shared" si="5"/>
        <v>0.99910941599039538</v>
      </c>
      <c r="D21">
        <f t="shared" si="6"/>
        <v>0.99888242811726558</v>
      </c>
    </row>
    <row r="22" spans="1:4" x14ac:dyDescent="0.2">
      <c r="B22" t="s">
        <v>196</v>
      </c>
      <c r="C22">
        <f t="shared" si="5"/>
        <v>0.99986221364516303</v>
      </c>
      <c r="D22">
        <f t="shared" si="6"/>
        <v>0.99982709530563141</v>
      </c>
    </row>
    <row r="23" spans="1:4" x14ac:dyDescent="0.2">
      <c r="B23" t="s">
        <v>197</v>
      </c>
      <c r="C23">
        <f t="shared" si="5"/>
        <v>0.99936809332449128</v>
      </c>
      <c r="D23">
        <f t="shared" si="6"/>
        <v>0.99920703591638249</v>
      </c>
    </row>
    <row r="26" spans="1:4" x14ac:dyDescent="0.2">
      <c r="A26" t="s">
        <v>210</v>
      </c>
    </row>
    <row r="27" spans="1:4" x14ac:dyDescent="0.2">
      <c r="B27" t="s">
        <v>200</v>
      </c>
      <c r="C27">
        <f>C12/C4</f>
        <v>19171.47727805451</v>
      </c>
      <c r="D27">
        <f>C27/2</f>
        <v>9585.738639027255</v>
      </c>
    </row>
    <row r="28" spans="1:4" x14ac:dyDescent="0.2">
      <c r="B28" t="s">
        <v>201</v>
      </c>
      <c r="C28">
        <f t="shared" ref="C28:C31" si="7">C13/C5</f>
        <v>4159.0106597870208</v>
      </c>
      <c r="D28">
        <f t="shared" ref="D28:D31" si="8">C28/2</f>
        <v>2079.5053298935104</v>
      </c>
    </row>
    <row r="29" spans="1:4" x14ac:dyDescent="0.2">
      <c r="B29" t="s">
        <v>195</v>
      </c>
      <c r="C29">
        <f t="shared" si="7"/>
        <v>3657.12</v>
      </c>
      <c r="D29">
        <f t="shared" si="8"/>
        <v>1828.56</v>
      </c>
    </row>
    <row r="30" spans="1:4" x14ac:dyDescent="0.2">
      <c r="B30" t="s">
        <v>196</v>
      </c>
      <c r="C30">
        <f t="shared" si="7"/>
        <v>1171.5511351921261</v>
      </c>
      <c r="D30">
        <f t="shared" si="8"/>
        <v>585.77556759606307</v>
      </c>
    </row>
    <row r="31" spans="1:4" x14ac:dyDescent="0.2">
      <c r="B31" t="s">
        <v>197</v>
      </c>
      <c r="C31">
        <f t="shared" si="7"/>
        <v>929.00429363678484</v>
      </c>
      <c r="D31">
        <f t="shared" si="8"/>
        <v>464.50214681839242</v>
      </c>
    </row>
    <row r="34" spans="1:7" x14ac:dyDescent="0.2">
      <c r="A34" t="s">
        <v>212</v>
      </c>
      <c r="C34" t="s">
        <v>192</v>
      </c>
      <c r="D34" t="s">
        <v>193</v>
      </c>
      <c r="E34" t="s">
        <v>213</v>
      </c>
      <c r="F34" t="s">
        <v>199</v>
      </c>
      <c r="G34" t="s">
        <v>203</v>
      </c>
    </row>
    <row r="35" spans="1:7" x14ac:dyDescent="0.2">
      <c r="B35" t="s">
        <v>200</v>
      </c>
      <c r="C35">
        <v>0</v>
      </c>
      <c r="D35" s="54">
        <f>(C12-C35*C4)/(2*SQRT(C4))</f>
        <v>1109629.4707815386</v>
      </c>
      <c r="E35">
        <f>(C35*2*C4+2*D35*SQRT(2*C4))/(2*(C35*C4 +2*D35*SQRT(C4)))</f>
        <v>0.70710678118654757</v>
      </c>
      <c r="F35">
        <f>C35*C4+2*D35*SQRT(C4)</f>
        <v>256897795.52593043</v>
      </c>
      <c r="G35">
        <f>C35*2*C4+2*D35*SQRT(2*C4)</f>
        <v>363308346.57652104</v>
      </c>
    </row>
    <row r="36" spans="1:7" x14ac:dyDescent="0.2">
      <c r="B36" t="s">
        <v>201</v>
      </c>
      <c r="C36">
        <v>0</v>
      </c>
      <c r="D36" s="54">
        <f>(C13-C36*C5)/(2*SQRT(C5))</f>
        <v>258059.82489077016</v>
      </c>
      <c r="E36">
        <f t="shared" ref="E36:E39" si="9">(C36*2*C5+2*D36*SQRT(2*C5))/(2*(C36*C5 +2*D36*SQRT(C5)))</f>
        <v>0.70710678118654746</v>
      </c>
      <c r="F36">
        <f t="shared" ref="F36:F39" si="10">C36*C5+2*D36*SQRT(C5)</f>
        <v>64048764.160720117</v>
      </c>
      <c r="G36">
        <f t="shared" ref="G36:G39" si="11">C36*2*C5+2*D36*SQRT(2*C5)</f>
        <v>90578630.929326206</v>
      </c>
    </row>
    <row r="37" spans="1:7" x14ac:dyDescent="0.2">
      <c r="B37" t="s">
        <v>195</v>
      </c>
      <c r="C37">
        <v>0</v>
      </c>
      <c r="D37" s="54">
        <f t="shared" ref="D37:D39" si="12">(C14-C37*C6)/(2*SQRT(C6))</f>
        <v>182856</v>
      </c>
      <c r="E37">
        <f t="shared" si="9"/>
        <v>0.70710678118654757</v>
      </c>
      <c r="F37">
        <f t="shared" si="10"/>
        <v>36571200</v>
      </c>
      <c r="G37">
        <f t="shared" si="11"/>
        <v>51719487.032258935</v>
      </c>
    </row>
    <row r="38" spans="1:7" x14ac:dyDescent="0.2">
      <c r="B38" t="s">
        <v>196</v>
      </c>
      <c r="C38">
        <v>0</v>
      </c>
      <c r="D38" s="54">
        <f t="shared" si="12"/>
        <v>57394.049775982035</v>
      </c>
      <c r="E38">
        <f t="shared" si="9"/>
        <v>0.70710678118654757</v>
      </c>
      <c r="F38">
        <f t="shared" si="10"/>
        <v>11246890.897844413</v>
      </c>
      <c r="G38">
        <f t="shared" si="11"/>
        <v>15905505.642262086</v>
      </c>
    </row>
    <row r="39" spans="1:7" x14ac:dyDescent="0.2">
      <c r="B39" t="s">
        <v>197</v>
      </c>
      <c r="C39">
        <v>0</v>
      </c>
      <c r="D39" s="54">
        <f t="shared" si="12"/>
        <v>49595.257698165136</v>
      </c>
      <c r="E39">
        <f t="shared" si="9"/>
        <v>0.70710678118654757</v>
      </c>
      <c r="F39">
        <f t="shared" si="10"/>
        <v>10590648.947459348</v>
      </c>
      <c r="G39">
        <f t="shared" si="11"/>
        <v>14977439.375829354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Ashley</dc:creator>
  <cp:lastModifiedBy>Microsoft Office User</cp:lastModifiedBy>
  <dcterms:created xsi:type="dcterms:W3CDTF">2017-05-15T17:59:12Z</dcterms:created>
  <dcterms:modified xsi:type="dcterms:W3CDTF">2018-02-10T23:14:18Z</dcterms:modified>
</cp:coreProperties>
</file>